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9045"/>
  </bookViews>
  <sheets>
    <sheet name="Методологија" sheetId="14" r:id="rId1"/>
    <sheet name="Графички приказ" sheetId="15" r:id="rId2"/>
    <sheet name="Сумарни подаци" sheetId="12" r:id="rId3"/>
    <sheet name="Градови - сумарни подаци" sheetId="6" r:id="rId4"/>
    <sheet name="Градови - појединачни подаци" sheetId="7" r:id="rId5"/>
    <sheet name="Општине - сумарни подаци" sheetId="9" r:id="rId6"/>
    <sheet name="Општине - појединачни подаци" sheetId="10" r:id="rId7"/>
    <sheet name="Општине - радна верзија" sheetId="5" state="hidden" r:id="rId8"/>
    <sheet name="Градови - радна верзија" sheetId="4" state="hidden" r:id="rId9"/>
  </sheets>
  <definedNames>
    <definedName name="_xlnm._FilterDatabase" localSheetId="8" hidden="1">'Градови - радна верзија'!$A$2:$G$641</definedName>
    <definedName name="_xlnm._FilterDatabase" localSheetId="7" hidden="1">'Општине - радна верзија'!$A$2:$G$2753</definedName>
    <definedName name="Slicer_NadlezniOrgan">#N/A</definedName>
    <definedName name="Slicer_NadlezniOrgan1">#N/A</definedName>
    <definedName name="Slicer_NadlezniOrgan2">#N/A</definedName>
    <definedName name="Slicer_Усаглашени_захтеви">#N/A</definedName>
  </definedNames>
  <calcPr calcId="145621"/>
  <pivotCaches>
    <pivotCache cacheId="0" r:id="rId10"/>
    <pivotCache cacheId="1" r:id="rId11"/>
    <pivotCache cacheId="2" r:id="rId12"/>
    <pivotCache cacheId="3"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12" l="1"/>
  <c r="E42" i="12"/>
  <c r="D37" i="12"/>
  <c r="D38" i="12" s="1"/>
  <c r="G33" i="12"/>
  <c r="F33" i="12"/>
  <c r="E33" i="12"/>
  <c r="D33" i="12"/>
  <c r="C33" i="12"/>
  <c r="G22" i="12"/>
  <c r="F22" i="12"/>
  <c r="E22" i="12"/>
  <c r="C37" i="12" s="1"/>
  <c r="C38" i="12" s="1"/>
  <c r="D22" i="12"/>
  <c r="D42" i="12" s="1"/>
  <c r="C22" i="12"/>
  <c r="C42" i="12" s="1"/>
  <c r="C43" i="12" l="1"/>
  <c r="D45" i="12"/>
  <c r="D46" i="12"/>
  <c r="E46" i="12"/>
  <c r="E43" i="12"/>
  <c r="E47" i="12"/>
  <c r="E45" i="12"/>
  <c r="D43" i="12"/>
  <c r="F42" i="12"/>
  <c r="F43" i="12" s="1"/>
  <c r="M9" i="9" l="1"/>
  <c r="K9" i="9"/>
  <c r="I9" i="9"/>
  <c r="C171" i="9" s="1"/>
  <c r="G9" i="9"/>
  <c r="C170" i="9" s="1"/>
  <c r="D9" i="9"/>
  <c r="E9" i="9"/>
  <c r="C174" i="9"/>
  <c r="C167" i="9"/>
  <c r="C166" i="9"/>
  <c r="N65" i="9"/>
  <c r="N67" i="9"/>
  <c r="N69" i="9"/>
  <c r="N64" i="9"/>
  <c r="N70" i="9"/>
  <c r="N51" i="9"/>
  <c r="N61" i="9"/>
  <c r="N164" i="9"/>
  <c r="N55" i="9"/>
  <c r="N73" i="9"/>
  <c r="N162" i="9"/>
  <c r="N71" i="9"/>
  <c r="N27" i="9"/>
  <c r="N74" i="9"/>
  <c r="N57" i="9"/>
  <c r="N72" i="9"/>
  <c r="N84" i="9"/>
  <c r="N128" i="9"/>
  <c r="N36" i="9"/>
  <c r="N135" i="9"/>
  <c r="N35" i="9"/>
  <c r="N48" i="9"/>
  <c r="N157" i="9"/>
  <c r="N151" i="9"/>
  <c r="N44" i="9"/>
  <c r="N103" i="9"/>
  <c r="N126" i="9"/>
  <c r="N68" i="9"/>
  <c r="N34" i="9"/>
  <c r="N116" i="9"/>
  <c r="N163" i="9"/>
  <c r="N147" i="9"/>
  <c r="N109" i="9"/>
  <c r="N26" i="9"/>
  <c r="N98" i="9"/>
  <c r="N32" i="9"/>
  <c r="N155" i="9"/>
  <c r="N127" i="9"/>
  <c r="N145" i="9"/>
  <c r="N112" i="9"/>
  <c r="N159" i="9"/>
  <c r="N91" i="9"/>
  <c r="N100" i="9"/>
  <c r="N50" i="9"/>
  <c r="N38" i="9"/>
  <c r="N80" i="9"/>
  <c r="N152" i="9"/>
  <c r="N53" i="9"/>
  <c r="N37" i="9"/>
  <c r="N63" i="9"/>
  <c r="N114" i="9"/>
  <c r="N138" i="9"/>
  <c r="N40" i="9"/>
  <c r="N144" i="9"/>
  <c r="N156" i="9"/>
  <c r="N101" i="9"/>
  <c r="N160" i="9"/>
  <c r="N83" i="9"/>
  <c r="N81" i="9"/>
  <c r="N118" i="9"/>
  <c r="N111" i="9"/>
  <c r="N104" i="9"/>
  <c r="N41" i="9"/>
  <c r="N33" i="9"/>
  <c r="N158" i="9"/>
  <c r="N52" i="9"/>
  <c r="N123" i="9"/>
  <c r="N92" i="9"/>
  <c r="N154" i="9"/>
  <c r="N39" i="9"/>
  <c r="N110" i="9"/>
  <c r="N82" i="9"/>
  <c r="N137" i="9"/>
  <c r="N56" i="9"/>
  <c r="N153" i="9"/>
  <c r="N95" i="9"/>
  <c r="N120" i="9"/>
  <c r="N142" i="9"/>
  <c r="N134" i="9"/>
  <c r="N119" i="9"/>
  <c r="N115" i="9"/>
  <c r="N148" i="9"/>
  <c r="N93" i="9"/>
  <c r="N97" i="9"/>
  <c r="N106" i="9"/>
  <c r="N79" i="9"/>
  <c r="N143" i="9"/>
  <c r="N102" i="9"/>
  <c r="N124" i="9"/>
  <c r="N29" i="9"/>
  <c r="N87" i="9"/>
  <c r="N129" i="9"/>
  <c r="N49" i="9"/>
  <c r="N121" i="9"/>
  <c r="N86" i="9"/>
  <c r="N161" i="9"/>
  <c r="N96" i="9"/>
  <c r="N45" i="9"/>
  <c r="N113" i="9"/>
  <c r="N66" i="9"/>
  <c r="N132" i="9"/>
  <c r="N131" i="9"/>
  <c r="N150" i="9"/>
  <c r="N146" i="9"/>
  <c r="N117" i="9"/>
  <c r="N47" i="9"/>
  <c r="N99" i="9"/>
  <c r="N139" i="9"/>
  <c r="N54" i="9"/>
  <c r="N94" i="9"/>
  <c r="N46" i="9"/>
  <c r="N25" i="9"/>
  <c r="N105" i="9"/>
  <c r="N88" i="9"/>
  <c r="N108" i="9"/>
  <c r="N89" i="9"/>
  <c r="N149" i="9"/>
  <c r="N141" i="9"/>
  <c r="N58" i="9"/>
  <c r="N125" i="9"/>
  <c r="N60" i="9"/>
  <c r="N130" i="9"/>
  <c r="N28" i="9"/>
  <c r="N140" i="9"/>
  <c r="N85" i="9"/>
  <c r="N107" i="9"/>
  <c r="N43" i="9"/>
  <c r="N122" i="9"/>
  <c r="N90" i="9"/>
  <c r="N59" i="9"/>
  <c r="N30" i="9"/>
  <c r="N136" i="9"/>
  <c r="N62" i="9"/>
  <c r="N133" i="9"/>
  <c r="N31" i="9"/>
  <c r="N42" i="9"/>
  <c r="L65" i="9"/>
  <c r="L67" i="9"/>
  <c r="L69" i="9"/>
  <c r="L64" i="9"/>
  <c r="L70" i="9"/>
  <c r="L51" i="9"/>
  <c r="L61" i="9"/>
  <c r="L164" i="9"/>
  <c r="L55" i="9"/>
  <c r="L73" i="9"/>
  <c r="L162" i="9"/>
  <c r="L71" i="9"/>
  <c r="L27" i="9"/>
  <c r="L74" i="9"/>
  <c r="L57" i="9"/>
  <c r="L72" i="9"/>
  <c r="L84" i="9"/>
  <c r="L128" i="9"/>
  <c r="L36" i="9"/>
  <c r="L135" i="9"/>
  <c r="L35" i="9"/>
  <c r="L48" i="9"/>
  <c r="L157" i="9"/>
  <c r="L151" i="9"/>
  <c r="L44" i="9"/>
  <c r="L103" i="9"/>
  <c r="L126" i="9"/>
  <c r="L68" i="9"/>
  <c r="L34" i="9"/>
  <c r="L116" i="9"/>
  <c r="L163" i="9"/>
  <c r="L147" i="9"/>
  <c r="L109" i="9"/>
  <c r="L26" i="9"/>
  <c r="L98" i="9"/>
  <c r="L32" i="9"/>
  <c r="L155" i="9"/>
  <c r="L127" i="9"/>
  <c r="L145" i="9"/>
  <c r="L112" i="9"/>
  <c r="L159" i="9"/>
  <c r="L91" i="9"/>
  <c r="L100" i="9"/>
  <c r="L50" i="9"/>
  <c r="L38" i="9"/>
  <c r="L80" i="9"/>
  <c r="L152" i="9"/>
  <c r="L53" i="9"/>
  <c r="L37" i="9"/>
  <c r="L63" i="9"/>
  <c r="L114" i="9"/>
  <c r="L138" i="9"/>
  <c r="L40" i="9"/>
  <c r="L144" i="9"/>
  <c r="L156" i="9"/>
  <c r="L101" i="9"/>
  <c r="L160" i="9"/>
  <c r="L83" i="9"/>
  <c r="L81" i="9"/>
  <c r="L118" i="9"/>
  <c r="L111" i="9"/>
  <c r="L104" i="9"/>
  <c r="L41" i="9"/>
  <c r="L33" i="9"/>
  <c r="L158" i="9"/>
  <c r="L52" i="9"/>
  <c r="L123" i="9"/>
  <c r="L92" i="9"/>
  <c r="L154" i="9"/>
  <c r="L39" i="9"/>
  <c r="L110" i="9"/>
  <c r="L82" i="9"/>
  <c r="L137" i="9"/>
  <c r="L56" i="9"/>
  <c r="L153" i="9"/>
  <c r="L95" i="9"/>
  <c r="L120" i="9"/>
  <c r="L142" i="9"/>
  <c r="L134" i="9"/>
  <c r="L119" i="9"/>
  <c r="L115" i="9"/>
  <c r="L148" i="9"/>
  <c r="L93" i="9"/>
  <c r="L97" i="9"/>
  <c r="L106" i="9"/>
  <c r="L79" i="9"/>
  <c r="L143" i="9"/>
  <c r="L102" i="9"/>
  <c r="L124" i="9"/>
  <c r="L29" i="9"/>
  <c r="L87" i="9"/>
  <c r="L129" i="9"/>
  <c r="L49" i="9"/>
  <c r="L121" i="9"/>
  <c r="L86" i="9"/>
  <c r="L161" i="9"/>
  <c r="L96" i="9"/>
  <c r="L45" i="9"/>
  <c r="L113" i="9"/>
  <c r="L66" i="9"/>
  <c r="L132" i="9"/>
  <c r="L131" i="9"/>
  <c r="L150" i="9"/>
  <c r="L146" i="9"/>
  <c r="L117" i="9"/>
  <c r="L47" i="9"/>
  <c r="L99" i="9"/>
  <c r="L139" i="9"/>
  <c r="L54" i="9"/>
  <c r="L94" i="9"/>
  <c r="L46" i="9"/>
  <c r="L25" i="9"/>
  <c r="L105" i="9"/>
  <c r="L88" i="9"/>
  <c r="L108" i="9"/>
  <c r="L89" i="9"/>
  <c r="L149" i="9"/>
  <c r="L141" i="9"/>
  <c r="L58" i="9"/>
  <c r="L125" i="9"/>
  <c r="L60" i="9"/>
  <c r="L130" i="9"/>
  <c r="L28" i="9"/>
  <c r="L140" i="9"/>
  <c r="L85" i="9"/>
  <c r="L107" i="9"/>
  <c r="L43" i="9"/>
  <c r="L122" i="9"/>
  <c r="L90" i="9"/>
  <c r="L59" i="9"/>
  <c r="L30" i="9"/>
  <c r="L136" i="9"/>
  <c r="L62" i="9"/>
  <c r="L133" i="9"/>
  <c r="L31" i="9"/>
  <c r="L42" i="9"/>
  <c r="J65" i="9"/>
  <c r="J67" i="9"/>
  <c r="J69" i="9"/>
  <c r="J64" i="9"/>
  <c r="J70" i="9"/>
  <c r="J51" i="9"/>
  <c r="J61" i="9"/>
  <c r="J164" i="9"/>
  <c r="J55" i="9"/>
  <c r="J73" i="9"/>
  <c r="J162" i="9"/>
  <c r="J71" i="9"/>
  <c r="J27" i="9"/>
  <c r="J74" i="9"/>
  <c r="J57" i="9"/>
  <c r="J72" i="9"/>
  <c r="J84" i="9"/>
  <c r="J128" i="9"/>
  <c r="J36" i="9"/>
  <c r="J135" i="9"/>
  <c r="J35" i="9"/>
  <c r="J48" i="9"/>
  <c r="J157" i="9"/>
  <c r="J151" i="9"/>
  <c r="J44" i="9"/>
  <c r="J103" i="9"/>
  <c r="J126" i="9"/>
  <c r="J68" i="9"/>
  <c r="J34" i="9"/>
  <c r="J116" i="9"/>
  <c r="J163" i="9"/>
  <c r="J147" i="9"/>
  <c r="J109" i="9"/>
  <c r="J26" i="9"/>
  <c r="J98" i="9"/>
  <c r="J32" i="9"/>
  <c r="J155" i="9"/>
  <c r="J127" i="9"/>
  <c r="J145" i="9"/>
  <c r="J112" i="9"/>
  <c r="J159" i="9"/>
  <c r="J91" i="9"/>
  <c r="J100" i="9"/>
  <c r="J50" i="9"/>
  <c r="J38" i="9"/>
  <c r="J80" i="9"/>
  <c r="J152" i="9"/>
  <c r="J53" i="9"/>
  <c r="J37" i="9"/>
  <c r="J63" i="9"/>
  <c r="J114" i="9"/>
  <c r="J138" i="9"/>
  <c r="J40" i="9"/>
  <c r="J144" i="9"/>
  <c r="J156" i="9"/>
  <c r="J101" i="9"/>
  <c r="J160" i="9"/>
  <c r="J83" i="9"/>
  <c r="J81" i="9"/>
  <c r="J118" i="9"/>
  <c r="J111" i="9"/>
  <c r="J104" i="9"/>
  <c r="J41" i="9"/>
  <c r="J33" i="9"/>
  <c r="J158" i="9"/>
  <c r="J52" i="9"/>
  <c r="J123" i="9"/>
  <c r="J92" i="9"/>
  <c r="J154" i="9"/>
  <c r="J39" i="9"/>
  <c r="J110" i="9"/>
  <c r="J82" i="9"/>
  <c r="J137" i="9"/>
  <c r="J56" i="9"/>
  <c r="J153" i="9"/>
  <c r="J95" i="9"/>
  <c r="J120" i="9"/>
  <c r="J142" i="9"/>
  <c r="J134" i="9"/>
  <c r="J119" i="9"/>
  <c r="J115" i="9"/>
  <c r="J148" i="9"/>
  <c r="J93" i="9"/>
  <c r="J97" i="9"/>
  <c r="J106" i="9"/>
  <c r="J79" i="9"/>
  <c r="J143" i="9"/>
  <c r="J102" i="9"/>
  <c r="J124" i="9"/>
  <c r="J29" i="9"/>
  <c r="J87" i="9"/>
  <c r="J129" i="9"/>
  <c r="J49" i="9"/>
  <c r="J121" i="9"/>
  <c r="J86" i="9"/>
  <c r="J161" i="9"/>
  <c r="J96" i="9"/>
  <c r="J45" i="9"/>
  <c r="J113" i="9"/>
  <c r="J66" i="9"/>
  <c r="J132" i="9"/>
  <c r="J131" i="9"/>
  <c r="J150" i="9"/>
  <c r="J146" i="9"/>
  <c r="J117" i="9"/>
  <c r="J47" i="9"/>
  <c r="J99" i="9"/>
  <c r="J139" i="9"/>
  <c r="J54" i="9"/>
  <c r="J94" i="9"/>
  <c r="J46" i="9"/>
  <c r="J25" i="9"/>
  <c r="J105" i="9"/>
  <c r="J88" i="9"/>
  <c r="J108" i="9"/>
  <c r="J89" i="9"/>
  <c r="J149" i="9"/>
  <c r="J141" i="9"/>
  <c r="J58" i="9"/>
  <c r="J125" i="9"/>
  <c r="J60" i="9"/>
  <c r="J130" i="9"/>
  <c r="J28" i="9"/>
  <c r="J140" i="9"/>
  <c r="J85" i="9"/>
  <c r="J107" i="9"/>
  <c r="J43" i="9"/>
  <c r="J122" i="9"/>
  <c r="J90" i="9"/>
  <c r="J59" i="9"/>
  <c r="J30" i="9"/>
  <c r="J136" i="9"/>
  <c r="J62" i="9"/>
  <c r="J133" i="9"/>
  <c r="J31" i="9"/>
  <c r="J42" i="9"/>
  <c r="H65" i="9"/>
  <c r="H67" i="9"/>
  <c r="H69" i="9"/>
  <c r="H64" i="9"/>
  <c r="H70" i="9"/>
  <c r="H51" i="9"/>
  <c r="H61" i="9"/>
  <c r="H164" i="9"/>
  <c r="H55" i="9"/>
  <c r="H73" i="9"/>
  <c r="H162" i="9"/>
  <c r="H71" i="9"/>
  <c r="H27" i="9"/>
  <c r="H74" i="9"/>
  <c r="H57" i="9"/>
  <c r="H72" i="9"/>
  <c r="H84" i="9"/>
  <c r="H128" i="9"/>
  <c r="H36" i="9"/>
  <c r="H135" i="9"/>
  <c r="H35" i="9"/>
  <c r="H48" i="9"/>
  <c r="H157" i="9"/>
  <c r="H151" i="9"/>
  <c r="H44" i="9"/>
  <c r="H103" i="9"/>
  <c r="H126" i="9"/>
  <c r="H68" i="9"/>
  <c r="H34" i="9"/>
  <c r="H116" i="9"/>
  <c r="H163" i="9"/>
  <c r="H147" i="9"/>
  <c r="H109" i="9"/>
  <c r="H26" i="9"/>
  <c r="H98" i="9"/>
  <c r="H32" i="9"/>
  <c r="H155" i="9"/>
  <c r="H127" i="9"/>
  <c r="H145" i="9"/>
  <c r="H112" i="9"/>
  <c r="H159" i="9"/>
  <c r="H91" i="9"/>
  <c r="H100" i="9"/>
  <c r="H50" i="9"/>
  <c r="H38" i="9"/>
  <c r="H80" i="9"/>
  <c r="H152" i="9"/>
  <c r="H53" i="9"/>
  <c r="H37" i="9"/>
  <c r="H63" i="9"/>
  <c r="H114" i="9"/>
  <c r="H138" i="9"/>
  <c r="H40" i="9"/>
  <c r="H144" i="9"/>
  <c r="H156" i="9"/>
  <c r="H101" i="9"/>
  <c r="H160" i="9"/>
  <c r="H83" i="9"/>
  <c r="H81" i="9"/>
  <c r="H118" i="9"/>
  <c r="H111" i="9"/>
  <c r="H104" i="9"/>
  <c r="H41" i="9"/>
  <c r="H33" i="9"/>
  <c r="H158" i="9"/>
  <c r="H52" i="9"/>
  <c r="H123" i="9"/>
  <c r="H92" i="9"/>
  <c r="H154" i="9"/>
  <c r="H39" i="9"/>
  <c r="H110" i="9"/>
  <c r="H82" i="9"/>
  <c r="H137" i="9"/>
  <c r="H56" i="9"/>
  <c r="H153" i="9"/>
  <c r="H95" i="9"/>
  <c r="H120" i="9"/>
  <c r="H142" i="9"/>
  <c r="H134" i="9"/>
  <c r="H119" i="9"/>
  <c r="H115" i="9"/>
  <c r="H148" i="9"/>
  <c r="H93" i="9"/>
  <c r="H97" i="9"/>
  <c r="H106" i="9"/>
  <c r="H79" i="9"/>
  <c r="H143" i="9"/>
  <c r="H102" i="9"/>
  <c r="H124" i="9"/>
  <c r="H29" i="9"/>
  <c r="H87" i="9"/>
  <c r="H129" i="9"/>
  <c r="H49" i="9"/>
  <c r="H121" i="9"/>
  <c r="H86" i="9"/>
  <c r="H161" i="9"/>
  <c r="H96" i="9"/>
  <c r="H45" i="9"/>
  <c r="H113" i="9"/>
  <c r="H66" i="9"/>
  <c r="H132" i="9"/>
  <c r="H131" i="9"/>
  <c r="H150" i="9"/>
  <c r="H146" i="9"/>
  <c r="H117" i="9"/>
  <c r="H47" i="9"/>
  <c r="H99" i="9"/>
  <c r="H139" i="9"/>
  <c r="H54" i="9"/>
  <c r="H94" i="9"/>
  <c r="H46" i="9"/>
  <c r="H25" i="9"/>
  <c r="H105" i="9"/>
  <c r="H88" i="9"/>
  <c r="H108" i="9"/>
  <c r="H89" i="9"/>
  <c r="H149" i="9"/>
  <c r="H141" i="9"/>
  <c r="H58" i="9"/>
  <c r="H125" i="9"/>
  <c r="H60" i="9"/>
  <c r="H130" i="9"/>
  <c r="H28" i="9"/>
  <c r="H140" i="9"/>
  <c r="H85" i="9"/>
  <c r="H107" i="9"/>
  <c r="H43" i="9"/>
  <c r="H122" i="9"/>
  <c r="H90" i="9"/>
  <c r="H59" i="9"/>
  <c r="H30" i="9"/>
  <c r="H136" i="9"/>
  <c r="H62" i="9"/>
  <c r="H133" i="9"/>
  <c r="H31" i="9"/>
  <c r="H42" i="9"/>
  <c r="F65" i="9"/>
  <c r="O65" i="9" s="1"/>
  <c r="F67" i="9"/>
  <c r="O67" i="9" s="1"/>
  <c r="F69" i="9"/>
  <c r="O69" i="9" s="1"/>
  <c r="F64" i="9"/>
  <c r="O64" i="9" s="1"/>
  <c r="F70" i="9"/>
  <c r="O70" i="9" s="1"/>
  <c r="F51" i="9"/>
  <c r="O51" i="9" s="1"/>
  <c r="F61" i="9"/>
  <c r="O61" i="9" s="1"/>
  <c r="F164" i="9"/>
  <c r="O164" i="9" s="1"/>
  <c r="F55" i="9"/>
  <c r="O55" i="9" s="1"/>
  <c r="F73" i="9"/>
  <c r="O73" i="9" s="1"/>
  <c r="F162" i="9"/>
  <c r="O162" i="9" s="1"/>
  <c r="F71" i="9"/>
  <c r="O71" i="9" s="1"/>
  <c r="F27" i="9"/>
  <c r="O27" i="9" s="1"/>
  <c r="F74" i="9"/>
  <c r="O74" i="9" s="1"/>
  <c r="F57" i="9"/>
  <c r="O57" i="9" s="1"/>
  <c r="F72" i="9"/>
  <c r="O72" i="9" s="1"/>
  <c r="F84" i="9"/>
  <c r="O84" i="9" s="1"/>
  <c r="F128" i="9"/>
  <c r="O128" i="9" s="1"/>
  <c r="F36" i="9"/>
  <c r="O36" i="9" s="1"/>
  <c r="F135" i="9"/>
  <c r="O135" i="9" s="1"/>
  <c r="F35" i="9"/>
  <c r="O35" i="9" s="1"/>
  <c r="F48" i="9"/>
  <c r="O48" i="9" s="1"/>
  <c r="F157" i="9"/>
  <c r="O157" i="9" s="1"/>
  <c r="F151" i="9"/>
  <c r="O151" i="9" s="1"/>
  <c r="F44" i="9"/>
  <c r="O44" i="9" s="1"/>
  <c r="F103" i="9"/>
  <c r="O103" i="9" s="1"/>
  <c r="F126" i="9"/>
  <c r="O126" i="9" s="1"/>
  <c r="F68" i="9"/>
  <c r="O68" i="9" s="1"/>
  <c r="F34" i="9"/>
  <c r="O34" i="9" s="1"/>
  <c r="F116" i="9"/>
  <c r="O116" i="9" s="1"/>
  <c r="F163" i="9"/>
  <c r="O163" i="9" s="1"/>
  <c r="F147" i="9"/>
  <c r="O147" i="9" s="1"/>
  <c r="F109" i="9"/>
  <c r="O109" i="9" s="1"/>
  <c r="F26" i="9"/>
  <c r="O26" i="9" s="1"/>
  <c r="F98" i="9"/>
  <c r="O98" i="9" s="1"/>
  <c r="F32" i="9"/>
  <c r="O32" i="9" s="1"/>
  <c r="F155" i="9"/>
  <c r="O155" i="9" s="1"/>
  <c r="F127" i="9"/>
  <c r="O127" i="9" s="1"/>
  <c r="F145" i="9"/>
  <c r="O145" i="9" s="1"/>
  <c r="F112" i="9"/>
  <c r="O112" i="9" s="1"/>
  <c r="F159" i="9"/>
  <c r="O159" i="9" s="1"/>
  <c r="F91" i="9"/>
  <c r="O91" i="9" s="1"/>
  <c r="F100" i="9"/>
  <c r="O100" i="9" s="1"/>
  <c r="F50" i="9"/>
  <c r="O50" i="9" s="1"/>
  <c r="F38" i="9"/>
  <c r="O38" i="9" s="1"/>
  <c r="F80" i="9"/>
  <c r="O80" i="9" s="1"/>
  <c r="F152" i="9"/>
  <c r="O152" i="9" s="1"/>
  <c r="F53" i="9"/>
  <c r="O53" i="9" s="1"/>
  <c r="F37" i="9"/>
  <c r="O37" i="9" s="1"/>
  <c r="F63" i="9"/>
  <c r="O63" i="9" s="1"/>
  <c r="F114" i="9"/>
  <c r="O114" i="9" s="1"/>
  <c r="F138" i="9"/>
  <c r="O138" i="9" s="1"/>
  <c r="F40" i="9"/>
  <c r="O40" i="9" s="1"/>
  <c r="F144" i="9"/>
  <c r="O144" i="9" s="1"/>
  <c r="F156" i="9"/>
  <c r="O156" i="9" s="1"/>
  <c r="F101" i="9"/>
  <c r="O101" i="9" s="1"/>
  <c r="F160" i="9"/>
  <c r="O160" i="9" s="1"/>
  <c r="F83" i="9"/>
  <c r="O83" i="9" s="1"/>
  <c r="F81" i="9"/>
  <c r="O81" i="9" s="1"/>
  <c r="F118" i="9"/>
  <c r="O118" i="9" s="1"/>
  <c r="F111" i="9"/>
  <c r="O111" i="9" s="1"/>
  <c r="F104" i="9"/>
  <c r="O104" i="9" s="1"/>
  <c r="F41" i="9"/>
  <c r="O41" i="9" s="1"/>
  <c r="F33" i="9"/>
  <c r="O33" i="9" s="1"/>
  <c r="F158" i="9"/>
  <c r="O158" i="9" s="1"/>
  <c r="F52" i="9"/>
  <c r="O52" i="9" s="1"/>
  <c r="F123" i="9"/>
  <c r="O123" i="9" s="1"/>
  <c r="F92" i="9"/>
  <c r="O92" i="9" s="1"/>
  <c r="F154" i="9"/>
  <c r="O154" i="9" s="1"/>
  <c r="F39" i="9"/>
  <c r="O39" i="9" s="1"/>
  <c r="F110" i="9"/>
  <c r="O110" i="9" s="1"/>
  <c r="F82" i="9"/>
  <c r="O82" i="9" s="1"/>
  <c r="F137" i="9"/>
  <c r="O137" i="9" s="1"/>
  <c r="F56" i="9"/>
  <c r="O56" i="9" s="1"/>
  <c r="F153" i="9"/>
  <c r="O153" i="9" s="1"/>
  <c r="F95" i="9"/>
  <c r="O95" i="9" s="1"/>
  <c r="F120" i="9"/>
  <c r="O120" i="9" s="1"/>
  <c r="F142" i="9"/>
  <c r="O142" i="9" s="1"/>
  <c r="F134" i="9"/>
  <c r="O134" i="9" s="1"/>
  <c r="F119" i="9"/>
  <c r="O119" i="9" s="1"/>
  <c r="F115" i="9"/>
  <c r="O115" i="9" s="1"/>
  <c r="F148" i="9"/>
  <c r="O148" i="9" s="1"/>
  <c r="F93" i="9"/>
  <c r="O93" i="9" s="1"/>
  <c r="F97" i="9"/>
  <c r="O97" i="9" s="1"/>
  <c r="F106" i="9"/>
  <c r="O106" i="9" s="1"/>
  <c r="F79" i="9"/>
  <c r="O79" i="9" s="1"/>
  <c r="F143" i="9"/>
  <c r="O143" i="9" s="1"/>
  <c r="F102" i="9"/>
  <c r="O102" i="9" s="1"/>
  <c r="F124" i="9"/>
  <c r="O124" i="9" s="1"/>
  <c r="F29" i="9"/>
  <c r="O29" i="9" s="1"/>
  <c r="F87" i="9"/>
  <c r="O87" i="9" s="1"/>
  <c r="F129" i="9"/>
  <c r="O129" i="9" s="1"/>
  <c r="F49" i="9"/>
  <c r="O49" i="9" s="1"/>
  <c r="F121" i="9"/>
  <c r="O121" i="9" s="1"/>
  <c r="F86" i="9"/>
  <c r="O86" i="9" s="1"/>
  <c r="F161" i="9"/>
  <c r="O161" i="9" s="1"/>
  <c r="F96" i="9"/>
  <c r="O96" i="9" s="1"/>
  <c r="F45" i="9"/>
  <c r="O45" i="9" s="1"/>
  <c r="F113" i="9"/>
  <c r="O113" i="9" s="1"/>
  <c r="F66" i="9"/>
  <c r="O66" i="9" s="1"/>
  <c r="F132" i="9"/>
  <c r="O132" i="9" s="1"/>
  <c r="F131" i="9"/>
  <c r="O131" i="9" s="1"/>
  <c r="F150" i="9"/>
  <c r="O150" i="9" s="1"/>
  <c r="F146" i="9"/>
  <c r="O146" i="9" s="1"/>
  <c r="F117" i="9"/>
  <c r="O117" i="9" s="1"/>
  <c r="F47" i="9"/>
  <c r="O47" i="9" s="1"/>
  <c r="F99" i="9"/>
  <c r="O99" i="9" s="1"/>
  <c r="F139" i="9"/>
  <c r="O139" i="9" s="1"/>
  <c r="F54" i="9"/>
  <c r="O54" i="9" s="1"/>
  <c r="F94" i="9"/>
  <c r="O94" i="9" s="1"/>
  <c r="F46" i="9"/>
  <c r="O46" i="9" s="1"/>
  <c r="F25" i="9"/>
  <c r="O25" i="9" s="1"/>
  <c r="F105" i="9"/>
  <c r="O105" i="9" s="1"/>
  <c r="F88" i="9"/>
  <c r="O88" i="9" s="1"/>
  <c r="F108" i="9"/>
  <c r="O108" i="9" s="1"/>
  <c r="F89" i="9"/>
  <c r="O89" i="9" s="1"/>
  <c r="F149" i="9"/>
  <c r="O149" i="9" s="1"/>
  <c r="F141" i="9"/>
  <c r="O141" i="9" s="1"/>
  <c r="F58" i="9"/>
  <c r="O58" i="9" s="1"/>
  <c r="F125" i="9"/>
  <c r="O125" i="9" s="1"/>
  <c r="F60" i="9"/>
  <c r="O60" i="9" s="1"/>
  <c r="F130" i="9"/>
  <c r="O130" i="9" s="1"/>
  <c r="F28" i="9"/>
  <c r="O28" i="9" s="1"/>
  <c r="F140" i="9"/>
  <c r="O140" i="9" s="1"/>
  <c r="F85" i="9"/>
  <c r="O85" i="9" s="1"/>
  <c r="F107" i="9"/>
  <c r="O107" i="9" s="1"/>
  <c r="F43" i="9"/>
  <c r="O43" i="9" s="1"/>
  <c r="F122" i="9"/>
  <c r="O122" i="9" s="1"/>
  <c r="F90" i="9"/>
  <c r="O90" i="9" s="1"/>
  <c r="F59" i="9"/>
  <c r="O59" i="9" s="1"/>
  <c r="F30" i="9"/>
  <c r="O30" i="9" s="1"/>
  <c r="F136" i="9"/>
  <c r="O136" i="9" s="1"/>
  <c r="F62" i="9"/>
  <c r="O62" i="9" s="1"/>
  <c r="F133" i="9"/>
  <c r="O133" i="9" s="1"/>
  <c r="F31" i="9"/>
  <c r="O31" i="9" s="1"/>
  <c r="F42" i="9"/>
  <c r="O42" i="9" s="1"/>
  <c r="C65" i="9"/>
  <c r="C67" i="9"/>
  <c r="C69" i="9"/>
  <c r="C64" i="9"/>
  <c r="C70" i="9"/>
  <c r="C51" i="9"/>
  <c r="C61" i="9"/>
  <c r="C164" i="9"/>
  <c r="C55" i="9"/>
  <c r="C73" i="9"/>
  <c r="C162" i="9"/>
  <c r="C71" i="9"/>
  <c r="C27" i="9"/>
  <c r="C74" i="9"/>
  <c r="C57" i="9"/>
  <c r="C72" i="9"/>
  <c r="C84" i="9"/>
  <c r="C128" i="9"/>
  <c r="C36" i="9"/>
  <c r="C135" i="9"/>
  <c r="C35" i="9"/>
  <c r="C48" i="9"/>
  <c r="C157" i="9"/>
  <c r="C151" i="9"/>
  <c r="C44" i="9"/>
  <c r="C103" i="9"/>
  <c r="C126" i="9"/>
  <c r="C68" i="9"/>
  <c r="C34" i="9"/>
  <c r="C116" i="9"/>
  <c r="C163" i="9"/>
  <c r="C147" i="9"/>
  <c r="C109" i="9"/>
  <c r="C26" i="9"/>
  <c r="C98" i="9"/>
  <c r="C32" i="9"/>
  <c r="C155" i="9"/>
  <c r="C127" i="9"/>
  <c r="C145" i="9"/>
  <c r="C112" i="9"/>
  <c r="C159" i="9"/>
  <c r="C91" i="9"/>
  <c r="C100" i="9"/>
  <c r="C50" i="9"/>
  <c r="C38" i="9"/>
  <c r="C80" i="9"/>
  <c r="C152" i="9"/>
  <c r="C53" i="9"/>
  <c r="C37" i="9"/>
  <c r="C63" i="9"/>
  <c r="C114" i="9"/>
  <c r="C138" i="9"/>
  <c r="C40" i="9"/>
  <c r="C144" i="9"/>
  <c r="C156" i="9"/>
  <c r="C101" i="9"/>
  <c r="C160" i="9"/>
  <c r="C83" i="9"/>
  <c r="C81" i="9"/>
  <c r="C118" i="9"/>
  <c r="C111" i="9"/>
  <c r="C104" i="9"/>
  <c r="C41" i="9"/>
  <c r="C33" i="9"/>
  <c r="C158" i="9"/>
  <c r="C52" i="9"/>
  <c r="C123" i="9"/>
  <c r="C92" i="9"/>
  <c r="C154" i="9"/>
  <c r="C39" i="9"/>
  <c r="C110" i="9"/>
  <c r="C82" i="9"/>
  <c r="C137" i="9"/>
  <c r="C56" i="9"/>
  <c r="C153" i="9"/>
  <c r="C95" i="9"/>
  <c r="C120" i="9"/>
  <c r="C142" i="9"/>
  <c r="C134" i="9"/>
  <c r="C119" i="9"/>
  <c r="C115" i="9"/>
  <c r="C148" i="9"/>
  <c r="C93" i="9"/>
  <c r="C97" i="9"/>
  <c r="C106" i="9"/>
  <c r="C79" i="9"/>
  <c r="C143" i="9"/>
  <c r="C102" i="9"/>
  <c r="C124" i="9"/>
  <c r="C29" i="9"/>
  <c r="C87" i="9"/>
  <c r="C129" i="9"/>
  <c r="C49" i="9"/>
  <c r="C121" i="9"/>
  <c r="C86" i="9"/>
  <c r="C161" i="9"/>
  <c r="C96" i="9"/>
  <c r="C45" i="9"/>
  <c r="C113" i="9"/>
  <c r="C66" i="9"/>
  <c r="C132" i="9"/>
  <c r="C131" i="9"/>
  <c r="C150" i="9"/>
  <c r="C146" i="9"/>
  <c r="C117" i="9"/>
  <c r="C47" i="9"/>
  <c r="C99" i="9"/>
  <c r="C139" i="9"/>
  <c r="C54" i="9"/>
  <c r="C94" i="9"/>
  <c r="C46" i="9"/>
  <c r="C25" i="9"/>
  <c r="C9" i="9" s="1"/>
  <c r="C105" i="9"/>
  <c r="C88" i="9"/>
  <c r="C108" i="9"/>
  <c r="C89" i="9"/>
  <c r="C149" i="9"/>
  <c r="C141" i="9"/>
  <c r="C58" i="9"/>
  <c r="C125" i="9"/>
  <c r="C60" i="9"/>
  <c r="C130" i="9"/>
  <c r="C28" i="9"/>
  <c r="C140" i="9"/>
  <c r="C85" i="9"/>
  <c r="C107" i="9"/>
  <c r="C43" i="9"/>
  <c r="C122" i="9"/>
  <c r="C90" i="9"/>
  <c r="C59" i="9"/>
  <c r="C30" i="9"/>
  <c r="C136" i="9"/>
  <c r="C62" i="9"/>
  <c r="C133" i="9"/>
  <c r="C31" i="9"/>
  <c r="C42" i="9"/>
  <c r="D174" i="9" l="1"/>
  <c r="C168" i="9"/>
  <c r="C173" i="9"/>
  <c r="D173" i="9" s="1"/>
  <c r="F9" i="9"/>
  <c r="H9" i="9"/>
  <c r="O9" i="9" s="1"/>
  <c r="L9" i="9"/>
  <c r="J9" i="9"/>
  <c r="N9" i="9"/>
  <c r="E2739" i="5" l="1"/>
  <c r="F2739" i="5"/>
  <c r="E2737" i="5"/>
  <c r="F2737" i="5"/>
  <c r="F2735" i="5"/>
  <c r="E2734" i="5"/>
  <c r="F2734" i="5"/>
  <c r="E2721" i="5"/>
  <c r="F2721" i="5"/>
  <c r="E2720" i="5"/>
  <c r="F2720" i="5"/>
  <c r="E2716" i="5"/>
  <c r="F2716" i="5"/>
  <c r="E2695" i="5"/>
  <c r="F2695" i="5"/>
  <c r="E2693" i="5"/>
  <c r="F2693" i="5"/>
  <c r="E2691" i="5"/>
  <c r="F2691" i="5"/>
  <c r="E2678" i="5"/>
  <c r="F2678" i="5"/>
  <c r="E2663" i="5"/>
  <c r="E2661" i="5"/>
  <c r="F2661" i="5"/>
  <c r="E2659" i="5"/>
  <c r="F2659" i="5"/>
  <c r="E2643" i="5"/>
  <c r="F2643" i="5"/>
  <c r="E2640" i="5"/>
  <c r="F2640" i="5"/>
  <c r="E2639" i="5"/>
  <c r="F2639" i="5"/>
  <c r="E2636" i="5"/>
  <c r="F2636" i="5"/>
  <c r="F2623" i="5"/>
  <c r="E2622" i="5"/>
  <c r="F2622" i="5"/>
  <c r="E2604" i="5"/>
  <c r="F2604" i="5"/>
  <c r="E2602" i="5"/>
  <c r="F2602" i="5"/>
  <c r="E2600" i="5"/>
  <c r="F2600" i="5"/>
  <c r="E2584" i="5"/>
  <c r="F2584" i="5"/>
  <c r="E2582" i="5"/>
  <c r="F2582" i="5"/>
  <c r="E2580" i="5"/>
  <c r="F2580" i="5"/>
  <c r="E2578" i="5"/>
  <c r="F2578" i="5"/>
  <c r="E2567" i="5"/>
  <c r="F2567" i="5"/>
  <c r="E2553" i="5"/>
  <c r="F2553" i="5"/>
  <c r="E2550" i="5"/>
  <c r="F2550" i="5"/>
  <c r="E2544" i="5"/>
  <c r="F2544" i="5"/>
  <c r="E2532" i="5"/>
  <c r="F2532" i="5"/>
  <c r="E2529" i="5"/>
  <c r="F2529" i="5"/>
  <c r="E2526" i="5"/>
  <c r="F2526" i="5"/>
  <c r="E2508" i="5"/>
  <c r="F2508" i="5"/>
  <c r="E2506" i="5"/>
  <c r="F2506" i="5"/>
  <c r="E2490" i="5"/>
  <c r="F2490" i="5"/>
  <c r="E2488" i="5"/>
  <c r="F2488" i="5"/>
  <c r="E2485" i="5"/>
  <c r="F2485" i="5"/>
  <c r="F2484" i="5"/>
  <c r="E2480" i="5"/>
  <c r="F2480" i="5"/>
  <c r="E2465" i="5"/>
  <c r="F2465" i="5"/>
  <c r="E2462" i="5"/>
  <c r="F2462" i="5"/>
  <c r="E2460" i="5"/>
  <c r="F2460" i="5"/>
  <c r="E2458" i="5"/>
  <c r="F2458" i="5"/>
  <c r="E2455" i="5"/>
  <c r="F2455" i="5"/>
  <c r="E2441" i="5"/>
  <c r="F2441" i="5"/>
  <c r="E2439" i="5"/>
  <c r="F2439" i="5"/>
  <c r="E2420" i="5"/>
  <c r="F2420" i="5"/>
  <c r="E2418" i="5"/>
  <c r="F2418" i="5"/>
  <c r="E2417" i="5"/>
  <c r="F2417" i="5"/>
  <c r="E2415" i="5"/>
  <c r="F2415" i="5"/>
  <c r="E2399" i="5"/>
  <c r="F2399" i="5"/>
  <c r="E2397" i="5"/>
  <c r="F2397" i="5"/>
  <c r="E2395" i="5"/>
  <c r="F2395" i="5"/>
  <c r="E2393" i="5"/>
  <c r="F2393" i="5"/>
  <c r="D2721" i="5" l="1"/>
  <c r="C2721" i="5"/>
  <c r="E2699" i="5"/>
  <c r="D2699" i="5"/>
  <c r="C2699" i="5"/>
  <c r="D2623" i="5"/>
  <c r="C2623" i="5"/>
  <c r="E2606" i="5"/>
  <c r="D2606" i="5"/>
  <c r="C2606" i="5"/>
  <c r="F2489" i="5"/>
  <c r="E2489" i="5"/>
  <c r="D2489" i="5"/>
  <c r="C2489" i="5"/>
  <c r="D2465" i="5"/>
  <c r="C2465" i="5"/>
  <c r="D2399" i="5"/>
  <c r="C2399" i="5"/>
  <c r="E2735" i="5"/>
  <c r="D2735" i="5"/>
  <c r="C2735" i="5"/>
  <c r="C2693" i="5"/>
  <c r="E2677" i="5"/>
  <c r="D2677" i="5"/>
  <c r="C2677" i="5"/>
  <c r="D2659" i="5"/>
  <c r="C2659" i="5"/>
  <c r="F2638" i="5"/>
  <c r="E2638" i="5"/>
  <c r="D2638" i="5"/>
  <c r="C2638" i="5"/>
  <c r="D2602" i="5"/>
  <c r="C2602" i="5"/>
  <c r="D2580" i="5"/>
  <c r="C2580" i="5"/>
  <c r="D2548" i="5"/>
  <c r="C2548" i="5"/>
  <c r="D2506" i="5"/>
  <c r="C2506" i="5"/>
  <c r="D2485" i="5"/>
  <c r="C2485" i="5"/>
  <c r="C2460" i="5"/>
  <c r="E2438" i="5"/>
  <c r="D2438" i="5"/>
  <c r="C2438" i="5"/>
  <c r="E2416" i="5"/>
  <c r="D2416" i="5"/>
  <c r="C2416" i="5"/>
  <c r="D2395" i="5"/>
  <c r="C2395" i="5"/>
  <c r="D2737" i="5"/>
  <c r="C2737" i="5"/>
  <c r="C2695" i="5"/>
  <c r="C2661" i="5"/>
  <c r="E2621" i="5"/>
  <c r="D2621" i="5"/>
  <c r="C2621" i="5"/>
  <c r="D2604" i="5"/>
  <c r="C2604" i="5"/>
  <c r="D2582" i="5"/>
  <c r="C2582" i="5"/>
  <c r="D2550" i="5"/>
  <c r="C2550" i="5"/>
  <c r="E2530" i="5"/>
  <c r="D2530" i="5"/>
  <c r="C2530" i="5"/>
  <c r="D2508" i="5"/>
  <c r="C2508" i="5"/>
  <c r="F2487" i="5"/>
  <c r="E2487" i="5"/>
  <c r="D2487" i="5"/>
  <c r="C2487" i="5"/>
  <c r="C2462" i="5"/>
  <c r="E2440" i="5"/>
  <c r="D2440" i="5"/>
  <c r="C2440" i="5"/>
  <c r="D2418" i="5"/>
  <c r="C2418" i="5"/>
  <c r="J3677" i="5"/>
  <c r="K3677" i="5"/>
  <c r="L3677" i="5"/>
  <c r="M3677" i="5"/>
  <c r="I3677" i="5"/>
  <c r="E2379" i="5" l="1"/>
  <c r="F2379" i="5"/>
  <c r="E2376" i="5"/>
  <c r="F2376" i="5"/>
  <c r="E2374" i="5"/>
  <c r="F2374" i="5"/>
  <c r="E2372" i="5"/>
  <c r="F2372" i="5"/>
  <c r="E2365" i="5"/>
  <c r="F2365" i="5"/>
  <c r="E2362" i="5"/>
  <c r="F2362" i="5"/>
  <c r="E2360" i="5"/>
  <c r="F2360" i="5"/>
  <c r="F2345" i="5"/>
  <c r="E2339" i="5"/>
  <c r="F2339" i="5"/>
  <c r="E2327" i="5"/>
  <c r="F2327" i="5"/>
  <c r="E2325" i="5"/>
  <c r="F2325" i="5"/>
  <c r="E2310" i="5"/>
  <c r="F2310" i="5"/>
  <c r="E2308" i="5"/>
  <c r="F2308" i="5"/>
  <c r="E2290" i="5"/>
  <c r="F2290" i="5"/>
  <c r="E2287" i="5"/>
  <c r="F2287" i="5"/>
  <c r="E2285" i="5"/>
  <c r="F2285" i="5"/>
  <c r="E2283" i="5"/>
  <c r="F2283" i="5"/>
  <c r="E2266" i="5"/>
  <c r="F2266" i="5"/>
  <c r="E2264" i="5"/>
  <c r="F2264" i="5"/>
  <c r="E2262" i="5"/>
  <c r="F2262" i="5"/>
  <c r="E2260" i="5"/>
  <c r="F2260" i="5"/>
  <c r="E2229" i="5"/>
  <c r="F2229" i="5"/>
  <c r="E2225" i="5"/>
  <c r="F2225" i="5"/>
  <c r="E2224" i="5"/>
  <c r="F2224" i="5"/>
  <c r="E2221" i="5"/>
  <c r="F2221" i="5"/>
  <c r="E2217" i="5"/>
  <c r="F2217" i="5"/>
  <c r="E2205" i="5"/>
  <c r="F2205" i="5"/>
  <c r="E2202" i="5"/>
  <c r="F2202" i="5"/>
  <c r="E2200" i="5"/>
  <c r="F2200" i="5"/>
  <c r="E2170" i="5"/>
  <c r="F2170" i="5"/>
  <c r="E2169" i="5"/>
  <c r="F2169" i="5"/>
  <c r="E2166" i="5"/>
  <c r="F2166" i="5"/>
  <c r="E2164" i="5"/>
  <c r="F2164" i="5"/>
  <c r="E2148" i="5"/>
  <c r="F2148" i="5"/>
  <c r="E2146" i="5"/>
  <c r="F2146" i="5"/>
  <c r="E2143" i="5"/>
  <c r="F2143" i="5"/>
  <c r="E2127" i="5"/>
  <c r="F2127" i="5"/>
  <c r="E2125" i="5"/>
  <c r="F2125" i="5"/>
  <c r="F2117" i="5"/>
  <c r="E2106" i="5"/>
  <c r="F2106" i="5"/>
  <c r="E2104" i="5"/>
  <c r="F2104" i="5"/>
  <c r="E2102" i="5"/>
  <c r="F2102" i="5"/>
  <c r="E2101" i="5"/>
  <c r="F2101" i="5"/>
  <c r="E2088" i="5"/>
  <c r="F2088" i="5"/>
  <c r="E2085" i="5"/>
  <c r="F2085" i="5"/>
  <c r="E2083" i="5"/>
  <c r="F2083" i="5"/>
  <c r="E2082" i="5"/>
  <c r="F2082" i="5"/>
  <c r="E2067" i="5"/>
  <c r="F2067" i="5"/>
  <c r="E2065" i="5"/>
  <c r="F2065" i="5"/>
  <c r="E2063" i="5"/>
  <c r="F2063" i="5"/>
  <c r="E2061" i="5"/>
  <c r="F2061" i="5"/>
  <c r="E2044" i="5"/>
  <c r="F2044" i="5"/>
  <c r="E2042" i="5"/>
  <c r="F2042" i="5"/>
  <c r="E2040" i="5"/>
  <c r="F2040" i="5"/>
  <c r="E2038" i="5"/>
  <c r="F2038" i="5"/>
  <c r="E2036" i="5"/>
  <c r="F2036" i="5"/>
  <c r="E2027" i="5"/>
  <c r="F2027" i="5"/>
  <c r="E2024" i="5"/>
  <c r="F2024" i="5"/>
  <c r="E2007" i="5"/>
  <c r="F2007" i="5"/>
  <c r="E2005" i="5"/>
  <c r="F2005" i="5"/>
  <c r="E2003" i="5"/>
  <c r="F2003" i="5"/>
  <c r="E2001" i="5"/>
  <c r="F2001" i="5"/>
  <c r="E1985" i="5"/>
  <c r="F1985" i="5"/>
  <c r="E1983" i="5"/>
  <c r="F1983" i="5"/>
  <c r="E1981" i="5"/>
  <c r="F1981" i="5"/>
  <c r="E1965" i="5"/>
  <c r="F1965" i="5"/>
  <c r="E1946" i="5"/>
  <c r="F1946" i="5"/>
  <c r="E1944" i="5"/>
  <c r="F1944" i="5"/>
  <c r="E1943" i="5"/>
  <c r="F1943" i="5"/>
  <c r="E2364" i="5" l="1"/>
  <c r="D2364" i="5"/>
  <c r="C2364" i="5"/>
  <c r="E2347" i="5"/>
  <c r="D2347" i="5"/>
  <c r="C2347" i="5"/>
  <c r="E2289" i="5"/>
  <c r="D2289" i="5"/>
  <c r="C2289" i="5"/>
  <c r="D2266" i="5"/>
  <c r="C2266" i="5"/>
  <c r="E2228" i="5"/>
  <c r="D2228" i="5"/>
  <c r="C2228" i="5"/>
  <c r="E2147" i="5"/>
  <c r="D2147" i="5"/>
  <c r="C2147" i="5"/>
  <c r="F2126" i="5"/>
  <c r="D2126" i="5"/>
  <c r="C2126" i="5"/>
  <c r="D2106" i="5"/>
  <c r="C2106" i="5"/>
  <c r="D2088" i="5"/>
  <c r="C2088" i="5"/>
  <c r="E2026" i="5"/>
  <c r="D2026" i="5"/>
  <c r="C2026" i="5"/>
  <c r="D2007" i="5"/>
  <c r="C2007" i="5"/>
  <c r="D2374" i="5"/>
  <c r="C2374" i="5"/>
  <c r="D2360" i="5"/>
  <c r="C2360" i="5"/>
  <c r="C2343" i="5"/>
  <c r="D2285" i="5"/>
  <c r="C2285" i="5"/>
  <c r="D2262" i="5"/>
  <c r="C2262" i="5"/>
  <c r="E2244" i="5"/>
  <c r="D2244" i="5"/>
  <c r="C2244" i="5"/>
  <c r="E2223" i="5"/>
  <c r="D2223" i="5"/>
  <c r="C2223" i="5"/>
  <c r="D2200" i="5"/>
  <c r="C2200" i="5"/>
  <c r="E2184" i="5"/>
  <c r="D2184" i="5"/>
  <c r="C2184" i="5"/>
  <c r="D2166" i="5"/>
  <c r="C2166" i="5"/>
  <c r="D2143" i="5"/>
  <c r="C2143" i="5"/>
  <c r="E2122" i="5"/>
  <c r="D2122" i="5"/>
  <c r="C2122" i="5"/>
  <c r="D2083" i="5"/>
  <c r="C2083" i="5"/>
  <c r="D2040" i="5"/>
  <c r="C2040" i="5"/>
  <c r="E2021" i="5"/>
  <c r="D2021" i="5"/>
  <c r="C2021" i="5"/>
  <c r="D2003" i="5"/>
  <c r="C2003" i="5"/>
  <c r="D1981" i="5"/>
  <c r="C1981" i="5"/>
  <c r="E1942" i="5"/>
  <c r="D1942" i="5"/>
  <c r="C1942" i="5"/>
  <c r="D2362" i="5"/>
  <c r="C2362" i="5"/>
  <c r="E2324" i="5"/>
  <c r="D2324" i="5"/>
  <c r="C2324" i="5"/>
  <c r="C2264" i="5"/>
  <c r="D2225" i="5"/>
  <c r="C2225" i="5"/>
  <c r="D2202" i="5"/>
  <c r="C2202" i="5"/>
  <c r="E2168" i="5"/>
  <c r="D2168" i="5"/>
  <c r="C2168" i="5"/>
  <c r="E2145" i="5"/>
  <c r="D2145" i="5"/>
  <c r="C2145" i="5"/>
  <c r="D2104" i="5"/>
  <c r="C2104" i="5"/>
  <c r="C2085" i="5"/>
  <c r="C2065" i="5"/>
  <c r="C2042" i="5"/>
  <c r="C2005" i="5"/>
  <c r="D1983" i="5"/>
  <c r="C1983" i="5"/>
  <c r="D1965" i="5"/>
  <c r="C1965" i="5"/>
  <c r="J3538" i="5" l="1"/>
  <c r="K3538" i="5"/>
  <c r="L3538" i="5"/>
  <c r="M3538" i="5"/>
  <c r="I3538" i="5"/>
  <c r="E1929" i="5" l="1"/>
  <c r="F1929" i="5"/>
  <c r="E1927" i="5"/>
  <c r="F1927" i="5"/>
  <c r="E1908" i="5"/>
  <c r="F1908" i="5"/>
  <c r="E1906" i="5"/>
  <c r="F1906" i="5"/>
  <c r="E1904" i="5"/>
  <c r="F1904" i="5"/>
  <c r="E1902" i="5"/>
  <c r="F1902" i="5"/>
  <c r="E1886" i="5"/>
  <c r="F1886" i="5"/>
  <c r="E1869" i="5"/>
  <c r="F1869" i="5"/>
  <c r="E1867" i="5"/>
  <c r="F1867" i="5"/>
  <c r="E1865" i="5"/>
  <c r="F1865" i="5"/>
  <c r="E1851" i="5"/>
  <c r="F1851" i="5"/>
  <c r="E1848" i="5"/>
  <c r="F1848" i="5"/>
  <c r="E1846" i="5"/>
  <c r="F1846" i="5"/>
  <c r="E1845" i="5"/>
  <c r="F1845" i="5"/>
  <c r="E1828" i="5"/>
  <c r="F1828" i="5"/>
  <c r="E1825" i="5"/>
  <c r="F1825" i="5"/>
  <c r="E1823" i="5"/>
  <c r="F1823" i="5"/>
  <c r="E1822" i="5"/>
  <c r="F1822" i="5"/>
  <c r="E1809" i="5"/>
  <c r="F1809" i="5"/>
  <c r="E1807" i="5"/>
  <c r="F1807" i="5"/>
  <c r="E1804" i="5"/>
  <c r="F1804" i="5"/>
  <c r="E1793" i="5"/>
  <c r="F1793" i="5"/>
  <c r="E1791" i="5"/>
  <c r="F1791" i="5"/>
  <c r="E1789" i="5"/>
  <c r="F1789" i="5"/>
  <c r="E1777" i="5"/>
  <c r="F1777" i="5"/>
  <c r="E1775" i="5"/>
  <c r="F1775" i="5"/>
  <c r="E1756" i="5"/>
  <c r="F1756" i="5"/>
  <c r="E1754" i="5"/>
  <c r="F1754" i="5"/>
  <c r="E1752" i="5"/>
  <c r="F1752" i="5"/>
  <c r="E1751" i="5"/>
  <c r="F1751" i="5"/>
  <c r="E1720" i="5"/>
  <c r="F1720" i="5"/>
  <c r="E1718" i="5"/>
  <c r="F1718" i="5"/>
  <c r="E1716" i="5"/>
  <c r="F1716" i="5"/>
  <c r="E1703" i="5"/>
  <c r="F1703" i="5"/>
  <c r="E1700" i="5"/>
  <c r="F1700" i="5"/>
  <c r="E1698" i="5"/>
  <c r="F1698" i="5"/>
  <c r="E1696" i="5"/>
  <c r="F1696" i="5"/>
  <c r="E1685" i="5"/>
  <c r="F1685" i="5"/>
  <c r="E1682" i="5"/>
  <c r="F1682" i="5"/>
  <c r="E1680" i="5"/>
  <c r="F1680" i="5"/>
  <c r="E1679" i="5"/>
  <c r="F1679" i="5"/>
  <c r="E1666" i="5"/>
  <c r="F1666" i="5"/>
  <c r="E1664" i="5"/>
  <c r="F1664" i="5"/>
  <c r="E1663" i="5"/>
  <c r="F1663" i="5"/>
  <c r="E1662" i="5"/>
  <c r="E1660" i="5"/>
  <c r="F1660" i="5"/>
  <c r="E1648" i="5"/>
  <c r="F1648" i="5"/>
  <c r="E1645" i="5"/>
  <c r="F1645" i="5"/>
  <c r="E1643" i="5"/>
  <c r="F1643" i="5"/>
  <c r="E1642" i="5"/>
  <c r="F1642" i="5"/>
  <c r="E1629" i="5"/>
  <c r="F1629" i="5"/>
  <c r="E1626" i="5"/>
  <c r="F1626" i="5"/>
  <c r="E1611" i="5"/>
  <c r="F1611" i="5"/>
  <c r="E1609" i="5"/>
  <c r="F1609" i="5"/>
  <c r="E1606" i="5"/>
  <c r="F1606" i="5"/>
  <c r="E1604" i="5"/>
  <c r="F1604" i="5"/>
  <c r="E1591" i="5"/>
  <c r="F1591" i="5"/>
  <c r="E1589" i="5"/>
  <c r="F1589" i="5"/>
  <c r="E1587" i="5"/>
  <c r="F1587" i="5"/>
  <c r="E1572" i="5"/>
  <c r="F1572" i="5"/>
  <c r="E1569" i="5"/>
  <c r="F1569" i="5"/>
  <c r="E1567" i="5"/>
  <c r="F1567" i="5"/>
  <c r="E1566" i="5"/>
  <c r="F1566" i="5"/>
  <c r="E1549" i="5"/>
  <c r="F1549" i="5"/>
  <c r="E1547" i="5"/>
  <c r="F1547" i="5"/>
  <c r="E1545" i="5"/>
  <c r="F1545" i="5"/>
  <c r="E1543" i="5"/>
  <c r="F1543" i="5"/>
  <c r="E1528" i="5"/>
  <c r="F1528" i="5"/>
  <c r="E1526" i="5"/>
  <c r="F1526" i="5"/>
  <c r="E1523" i="5"/>
  <c r="F1523" i="5"/>
  <c r="E1521" i="5"/>
  <c r="F1521" i="5"/>
  <c r="E1490" i="5"/>
  <c r="F1490" i="5"/>
  <c r="E1487" i="5"/>
  <c r="F1487" i="5"/>
  <c r="E1486" i="5"/>
  <c r="F1486" i="5"/>
  <c r="E1483" i="5"/>
  <c r="F1483" i="5"/>
  <c r="E1467" i="5"/>
  <c r="F1467" i="5"/>
  <c r="E1464" i="5"/>
  <c r="F1464" i="5"/>
  <c r="E1462" i="5"/>
  <c r="F1462" i="5"/>
  <c r="E1461" i="5"/>
  <c r="F1461" i="5"/>
  <c r="E1443" i="5"/>
  <c r="F1443" i="5"/>
  <c r="E1441" i="5"/>
  <c r="F1441" i="5"/>
  <c r="E1438" i="5"/>
  <c r="F1438" i="5"/>
  <c r="E1437" i="5"/>
  <c r="F1437" i="5"/>
  <c r="E1422" i="5"/>
  <c r="F1422" i="5"/>
  <c r="E1418" i="5"/>
  <c r="F1418" i="5"/>
  <c r="E1417" i="5"/>
  <c r="F1417" i="5"/>
  <c r="E1402" i="5"/>
  <c r="F1402" i="5"/>
  <c r="E1400" i="5"/>
  <c r="F1400" i="5"/>
  <c r="E1398" i="5"/>
  <c r="F1398" i="5"/>
  <c r="E1383" i="5"/>
  <c r="F1383" i="5"/>
  <c r="E1380" i="5"/>
  <c r="E1379" i="5"/>
  <c r="F1379" i="5"/>
  <c r="E1376" i="5"/>
  <c r="F1376" i="5"/>
  <c r="E1360" i="5"/>
  <c r="F1360" i="5"/>
  <c r="E1359" i="5"/>
  <c r="F1359" i="5"/>
  <c r="E1356" i="5"/>
  <c r="F1356" i="5"/>
  <c r="D1869" i="5" l="1"/>
  <c r="C1869" i="5"/>
  <c r="D1851" i="5"/>
  <c r="C1851" i="5"/>
  <c r="E1827" i="5"/>
  <c r="D1827" i="5"/>
  <c r="C1827" i="5"/>
  <c r="E1808" i="5"/>
  <c r="D1808" i="5"/>
  <c r="C1808" i="5"/>
  <c r="E1719" i="5"/>
  <c r="D1719" i="5"/>
  <c r="C1719" i="5"/>
  <c r="F1702" i="5"/>
  <c r="D1702" i="5"/>
  <c r="C1702" i="5"/>
  <c r="E1684" i="5"/>
  <c r="D1684" i="5"/>
  <c r="C1684" i="5"/>
  <c r="D1549" i="5"/>
  <c r="C1549" i="5"/>
  <c r="E1509" i="5"/>
  <c r="D1509" i="5"/>
  <c r="C1509" i="5"/>
  <c r="C1467" i="5"/>
  <c r="D1402" i="5"/>
  <c r="C1402" i="5"/>
  <c r="D1360" i="5"/>
  <c r="C1360" i="5"/>
  <c r="F1926" i="5"/>
  <c r="E1926" i="5"/>
  <c r="D1926" i="5"/>
  <c r="C1926" i="5"/>
  <c r="D1904" i="5"/>
  <c r="C1904" i="5"/>
  <c r="D1865" i="5"/>
  <c r="C1865" i="5"/>
  <c r="D1846" i="5"/>
  <c r="C1846" i="5"/>
  <c r="D1823" i="5"/>
  <c r="C1823" i="5"/>
  <c r="D1804" i="5"/>
  <c r="C1804" i="5"/>
  <c r="E1772" i="5"/>
  <c r="D1772" i="5"/>
  <c r="C1772" i="5"/>
  <c r="D1752" i="5"/>
  <c r="C1752" i="5"/>
  <c r="E1715" i="5"/>
  <c r="D1715" i="5"/>
  <c r="C1715" i="5"/>
  <c r="C1698" i="5"/>
  <c r="D1680" i="5"/>
  <c r="C1680" i="5"/>
  <c r="D1662" i="5"/>
  <c r="C1662" i="5"/>
  <c r="D1643" i="5"/>
  <c r="C1643" i="5"/>
  <c r="E1624" i="5"/>
  <c r="D1624" i="5"/>
  <c r="C1624" i="5"/>
  <c r="D1606" i="5"/>
  <c r="C1606" i="5"/>
  <c r="D1567" i="5"/>
  <c r="C1567" i="5"/>
  <c r="D1545" i="5"/>
  <c r="C1545" i="5"/>
  <c r="C1523" i="5"/>
  <c r="D1462" i="5"/>
  <c r="C1462" i="5"/>
  <c r="D1438" i="5"/>
  <c r="C1438" i="5"/>
  <c r="C1418" i="5"/>
  <c r="D1398" i="5"/>
  <c r="C1398" i="5"/>
  <c r="E1378" i="5"/>
  <c r="D1378" i="5"/>
  <c r="C1378" i="5"/>
  <c r="D1356" i="5"/>
  <c r="C1356" i="5"/>
  <c r="E1928" i="5"/>
  <c r="D1928" i="5"/>
  <c r="C1928" i="5"/>
  <c r="D1906" i="5"/>
  <c r="C1906" i="5"/>
  <c r="D1867" i="5"/>
  <c r="C1867" i="5"/>
  <c r="D1825" i="5"/>
  <c r="C1825" i="5"/>
  <c r="E1806" i="5"/>
  <c r="D1806" i="5"/>
  <c r="C1806" i="5"/>
  <c r="D1791" i="5"/>
  <c r="C1791" i="5"/>
  <c r="D1754" i="5"/>
  <c r="C1754" i="5"/>
  <c r="D1682" i="5"/>
  <c r="C1682" i="5"/>
  <c r="D1664" i="5"/>
  <c r="C1664" i="5"/>
  <c r="F1608" i="5"/>
  <c r="E1608" i="5"/>
  <c r="D1608" i="5"/>
  <c r="C1608" i="5"/>
  <c r="D1589" i="5"/>
  <c r="C1589" i="5"/>
  <c r="C1569" i="5"/>
  <c r="C1547" i="5"/>
  <c r="E1525" i="5"/>
  <c r="D1525" i="5"/>
  <c r="C1525" i="5"/>
  <c r="E1507" i="5"/>
  <c r="D1507" i="5"/>
  <c r="C1507" i="5"/>
  <c r="C1464" i="5"/>
  <c r="C1400" i="5"/>
  <c r="F1358" i="5"/>
  <c r="D1358" i="5"/>
  <c r="C1358" i="5"/>
  <c r="J3363" i="5"/>
  <c r="K3363" i="5"/>
  <c r="L3363" i="5"/>
  <c r="M3363" i="5"/>
  <c r="I3363" i="5"/>
  <c r="E1337" i="5" l="1"/>
  <c r="F1337" i="5"/>
  <c r="E1336" i="5"/>
  <c r="F1336" i="5"/>
  <c r="E1333" i="5"/>
  <c r="F1333" i="5"/>
  <c r="E1315" i="5"/>
  <c r="F1315" i="5"/>
  <c r="E1313" i="5"/>
  <c r="F1313" i="5"/>
  <c r="E1311" i="5"/>
  <c r="F1311" i="5"/>
  <c r="E1309" i="5"/>
  <c r="F1309" i="5"/>
  <c r="E1306" i="5"/>
  <c r="F1306" i="5"/>
  <c r="E1299" i="5"/>
  <c r="F1299" i="5"/>
  <c r="E1296" i="5"/>
  <c r="F1296" i="5"/>
  <c r="E1294" i="5"/>
  <c r="F1294" i="5"/>
  <c r="E1283" i="5"/>
  <c r="F1283" i="5"/>
  <c r="E1281" i="5"/>
  <c r="F1281" i="5"/>
  <c r="E1265" i="5"/>
  <c r="F1265" i="5"/>
  <c r="E1263" i="5"/>
  <c r="F1263" i="5"/>
  <c r="E1259" i="5"/>
  <c r="F1259" i="5"/>
  <c r="E1208" i="5"/>
  <c r="F1208" i="5"/>
  <c r="E1206" i="5"/>
  <c r="F1206" i="5"/>
  <c r="E1204" i="5"/>
  <c r="F1204" i="5"/>
  <c r="E1187" i="5"/>
  <c r="F1187" i="5"/>
  <c r="E1185" i="5"/>
  <c r="F1185" i="5"/>
  <c r="F1173" i="5"/>
  <c r="E1171" i="5"/>
  <c r="F1171" i="5"/>
  <c r="E1166" i="5"/>
  <c r="F1166" i="5"/>
  <c r="E1152" i="5"/>
  <c r="F1152" i="5"/>
  <c r="E1151" i="5"/>
  <c r="F1151" i="5"/>
  <c r="E1148" i="5"/>
  <c r="F1148" i="5"/>
  <c r="E1132" i="5"/>
  <c r="F1132" i="5"/>
  <c r="E1130" i="5"/>
  <c r="F1130" i="5"/>
  <c r="E1129" i="5"/>
  <c r="F1129" i="5"/>
  <c r="E1128" i="5"/>
  <c r="E1126" i="5"/>
  <c r="F1126" i="5"/>
  <c r="E1111" i="5"/>
  <c r="F1111" i="5"/>
  <c r="E1109" i="5"/>
  <c r="F1109" i="5"/>
  <c r="E1106" i="5"/>
  <c r="F1106" i="5"/>
  <c r="E1078" i="5"/>
  <c r="F1078" i="5"/>
  <c r="E1076" i="5"/>
  <c r="F1076" i="5"/>
  <c r="E1073" i="5"/>
  <c r="F1073" i="5"/>
  <c r="E1071" i="5"/>
  <c r="F1071" i="5"/>
  <c r="E1053" i="5"/>
  <c r="F1053" i="5"/>
  <c r="E1051" i="5"/>
  <c r="F1051" i="5"/>
  <c r="E1050" i="5"/>
  <c r="F1050" i="5"/>
  <c r="E1047" i="5"/>
  <c r="F1047" i="5"/>
  <c r="E1044" i="5"/>
  <c r="F1044" i="5"/>
  <c r="E1031" i="5"/>
  <c r="F1031" i="5"/>
  <c r="E1028" i="5"/>
  <c r="F1028" i="5"/>
  <c r="E1026" i="5"/>
  <c r="F1026" i="5"/>
  <c r="E1025" i="5"/>
  <c r="F1025" i="5"/>
  <c r="E1009" i="5"/>
  <c r="F1009" i="5"/>
  <c r="E1008" i="5"/>
  <c r="F1008" i="5"/>
  <c r="E1005" i="5"/>
  <c r="F1005" i="5"/>
  <c r="E1003" i="5"/>
  <c r="F1003" i="5"/>
  <c r="E967" i="5"/>
  <c r="F967" i="5"/>
  <c r="E965" i="5"/>
  <c r="F965" i="5"/>
  <c r="E963" i="5"/>
  <c r="F963" i="5"/>
  <c r="E961" i="5"/>
  <c r="F961" i="5"/>
  <c r="E946" i="5"/>
  <c r="F946" i="5"/>
  <c r="E943" i="5"/>
  <c r="F943" i="5"/>
  <c r="E941" i="5"/>
  <c r="F941" i="5"/>
  <c r="E928" i="5"/>
  <c r="F928" i="5"/>
  <c r="E926" i="5"/>
  <c r="F926" i="5"/>
  <c r="D1315" i="5" l="1"/>
  <c r="C1315" i="5"/>
  <c r="E1264" i="5"/>
  <c r="D1264" i="5"/>
  <c r="C1264" i="5"/>
  <c r="E1228" i="5"/>
  <c r="D1228" i="5"/>
  <c r="C1228" i="5"/>
  <c r="E1189" i="5"/>
  <c r="D1189" i="5"/>
  <c r="C1189" i="5"/>
  <c r="D1132" i="5"/>
  <c r="C1132" i="5"/>
  <c r="D1095" i="5"/>
  <c r="C1095" i="5"/>
  <c r="F1077" i="5"/>
  <c r="E1077" i="5"/>
  <c r="D1077" i="5"/>
  <c r="C1077" i="5"/>
  <c r="D1053" i="5"/>
  <c r="C1053" i="5"/>
  <c r="D1031" i="5"/>
  <c r="C1031" i="5"/>
  <c r="D967" i="5"/>
  <c r="C967" i="5"/>
  <c r="C946" i="5"/>
  <c r="C1333" i="5"/>
  <c r="D1311" i="5"/>
  <c r="C1311" i="5"/>
  <c r="E1260" i="5"/>
  <c r="D1260" i="5"/>
  <c r="C1260" i="5"/>
  <c r="E1243" i="5"/>
  <c r="D1243" i="5"/>
  <c r="C1243" i="5"/>
  <c r="E1224" i="5"/>
  <c r="D1224" i="5"/>
  <c r="C1224" i="5"/>
  <c r="D1204" i="5"/>
  <c r="C1204" i="5"/>
  <c r="D1185" i="5"/>
  <c r="C1185" i="5"/>
  <c r="D1148" i="5"/>
  <c r="C1148" i="5"/>
  <c r="D1128" i="5"/>
  <c r="C1128" i="5"/>
  <c r="D1106" i="5"/>
  <c r="C1106" i="5"/>
  <c r="C1073" i="5"/>
  <c r="F1049" i="5"/>
  <c r="E1049" i="5"/>
  <c r="D1049" i="5"/>
  <c r="C1049" i="5"/>
  <c r="D1026" i="5"/>
  <c r="C1026" i="5"/>
  <c r="D1003" i="5"/>
  <c r="C1003" i="5"/>
  <c r="D963" i="5"/>
  <c r="C963" i="5"/>
  <c r="D941" i="5"/>
  <c r="C941" i="5"/>
  <c r="E1335" i="5"/>
  <c r="D1335" i="5"/>
  <c r="C1335" i="5"/>
  <c r="D1313" i="5"/>
  <c r="C1313" i="5"/>
  <c r="D1296" i="5"/>
  <c r="C1296" i="5"/>
  <c r="E1262" i="5"/>
  <c r="D1262" i="5"/>
  <c r="C1262" i="5"/>
  <c r="E1245" i="5"/>
  <c r="D1245" i="5"/>
  <c r="C1245" i="5"/>
  <c r="C1206" i="5"/>
  <c r="D1187" i="5"/>
  <c r="C1187" i="5"/>
  <c r="E1170" i="5"/>
  <c r="D1170" i="5"/>
  <c r="C1170" i="5"/>
  <c r="C1130" i="5"/>
  <c r="E1108" i="5"/>
  <c r="D1108" i="5"/>
  <c r="C1108" i="5"/>
  <c r="F1093" i="5"/>
  <c r="D1093" i="5"/>
  <c r="C1093" i="5"/>
  <c r="F1075" i="5"/>
  <c r="E1075" i="5"/>
  <c r="D1075" i="5"/>
  <c r="C1075" i="5"/>
  <c r="D1051" i="5"/>
  <c r="C1051" i="5"/>
  <c r="D1028" i="5"/>
  <c r="C1028" i="5"/>
  <c r="C1005" i="5"/>
  <c r="C943" i="5"/>
  <c r="E925" i="5"/>
  <c r="D925" i="5"/>
  <c r="C925" i="5"/>
  <c r="J3177" i="5"/>
  <c r="K3177" i="5"/>
  <c r="L3177" i="5"/>
  <c r="M3177" i="5"/>
  <c r="I3177" i="5"/>
  <c r="E913" i="5" l="1"/>
  <c r="F913" i="5"/>
  <c r="E911" i="5"/>
  <c r="F911" i="5"/>
  <c r="E908" i="5"/>
  <c r="F908" i="5"/>
  <c r="E906" i="5"/>
  <c r="F906" i="5"/>
  <c r="E891" i="5"/>
  <c r="F891" i="5"/>
  <c r="E889" i="5"/>
  <c r="F889" i="5"/>
  <c r="E887" i="5"/>
  <c r="F887" i="5"/>
  <c r="E857" i="5"/>
  <c r="F857" i="5"/>
  <c r="E855" i="5"/>
  <c r="F855" i="5"/>
  <c r="E853" i="5"/>
  <c r="F853" i="5"/>
  <c r="E840" i="5"/>
  <c r="F840" i="5"/>
  <c r="E839" i="5"/>
  <c r="F839" i="5"/>
  <c r="E836" i="5"/>
  <c r="F836" i="5"/>
  <c r="E800" i="5"/>
  <c r="E798" i="5"/>
  <c r="F798" i="5"/>
  <c r="E796" i="5"/>
  <c r="F796" i="5"/>
  <c r="E759" i="5"/>
  <c r="F759" i="5"/>
  <c r="E757" i="5"/>
  <c r="F757" i="5"/>
  <c r="E755" i="5"/>
  <c r="F755" i="5"/>
  <c r="E737" i="5"/>
  <c r="F737" i="5"/>
  <c r="E735" i="5"/>
  <c r="F735" i="5"/>
  <c r="E733" i="5"/>
  <c r="E715" i="5"/>
  <c r="F715" i="5"/>
  <c r="E714" i="5"/>
  <c r="F714" i="5"/>
  <c r="E700" i="5"/>
  <c r="F700" i="5"/>
  <c r="E696" i="5" l="1"/>
  <c r="F696" i="5"/>
  <c r="E694" i="5"/>
  <c r="F694" i="5"/>
  <c r="E675" i="5"/>
  <c r="F675" i="5"/>
  <c r="E673" i="5"/>
  <c r="F673" i="5"/>
  <c r="E671" i="5"/>
  <c r="F671" i="5"/>
  <c r="E669" i="5"/>
  <c r="F669" i="5"/>
  <c r="E653" i="5"/>
  <c r="F653" i="5"/>
  <c r="E649" i="5"/>
  <c r="F649" i="5"/>
  <c r="E647" i="5"/>
  <c r="F647" i="5"/>
  <c r="E630" i="5"/>
  <c r="F630" i="5"/>
  <c r="E627" i="5"/>
  <c r="F627" i="5"/>
  <c r="E625" i="5"/>
  <c r="F625" i="5"/>
  <c r="E622" i="5"/>
  <c r="F622" i="5"/>
  <c r="E604" i="5"/>
  <c r="F604" i="5"/>
  <c r="E602" i="5"/>
  <c r="F602" i="5"/>
  <c r="E583" i="5"/>
  <c r="F583" i="5"/>
  <c r="E582" i="5"/>
  <c r="F582" i="5"/>
  <c r="E564" i="5"/>
  <c r="F564" i="5"/>
  <c r="E561" i="5"/>
  <c r="F561" i="5"/>
  <c r="E559" i="5"/>
  <c r="F559" i="5"/>
  <c r="E544" i="5"/>
  <c r="F544" i="5"/>
  <c r="E543" i="5"/>
  <c r="F543" i="5"/>
  <c r="E541" i="5"/>
  <c r="F541" i="5"/>
  <c r="E528" i="5"/>
  <c r="F528" i="5"/>
  <c r="E526" i="5"/>
  <c r="F526" i="5"/>
  <c r="E521" i="5"/>
  <c r="F521" i="5"/>
  <c r="E506" i="5"/>
  <c r="F506" i="5"/>
  <c r="E503" i="5"/>
  <c r="F503" i="5"/>
  <c r="E501" i="5"/>
  <c r="F501" i="5"/>
  <c r="E499" i="5"/>
  <c r="F499" i="5"/>
  <c r="E496" i="5"/>
  <c r="F496" i="5"/>
  <c r="E482" i="5"/>
  <c r="F482" i="5"/>
  <c r="E479" i="5"/>
  <c r="F479" i="5"/>
  <c r="E477" i="5"/>
  <c r="F477" i="5"/>
  <c r="E475" i="5"/>
  <c r="F475" i="5"/>
  <c r="E458" i="5"/>
  <c r="F458" i="5"/>
  <c r="E453" i="5"/>
  <c r="F453" i="5"/>
  <c r="E451" i="5"/>
  <c r="F451" i="5"/>
  <c r="E438" i="5"/>
  <c r="F438" i="5"/>
  <c r="E435" i="5"/>
  <c r="F435" i="5"/>
  <c r="E433" i="5"/>
  <c r="F433" i="5"/>
  <c r="E430" i="5"/>
  <c r="F430" i="5"/>
  <c r="E414" i="5"/>
  <c r="F414" i="5"/>
  <c r="E413" i="5"/>
  <c r="F413" i="5"/>
  <c r="E392" i="5"/>
  <c r="F392" i="5"/>
  <c r="E390" i="5"/>
  <c r="F390" i="5"/>
  <c r="E481" i="5"/>
  <c r="D481" i="5"/>
  <c r="C481" i="5"/>
  <c r="C857" i="5"/>
  <c r="D840" i="5"/>
  <c r="C840" i="5"/>
  <c r="D759" i="5"/>
  <c r="C759" i="5"/>
  <c r="E699" i="5"/>
  <c r="D699" i="5"/>
  <c r="C699" i="5"/>
  <c r="E652" i="5"/>
  <c r="D652" i="5"/>
  <c r="C652" i="5"/>
  <c r="E629" i="5"/>
  <c r="D629" i="5"/>
  <c r="C629" i="5"/>
  <c r="D482" i="5"/>
  <c r="C482" i="5"/>
  <c r="D458" i="5"/>
  <c r="C458" i="5"/>
  <c r="D414" i="5"/>
  <c r="C414" i="5"/>
  <c r="D392" i="5"/>
  <c r="C392" i="5"/>
  <c r="D908" i="5"/>
  <c r="C908" i="5"/>
  <c r="D887" i="5"/>
  <c r="C887" i="5"/>
  <c r="E873" i="5"/>
  <c r="D873" i="5"/>
  <c r="C873" i="5"/>
  <c r="D853" i="5"/>
  <c r="C853" i="5"/>
  <c r="D836" i="5"/>
  <c r="C836" i="5"/>
  <c r="E815" i="5"/>
  <c r="D815" i="5"/>
  <c r="C815" i="5"/>
  <c r="D796" i="5"/>
  <c r="C796" i="5"/>
  <c r="D755" i="5"/>
  <c r="C755" i="5"/>
  <c r="D733" i="5"/>
  <c r="C733" i="5"/>
  <c r="E713" i="5"/>
  <c r="D713" i="5"/>
  <c r="C713" i="5"/>
  <c r="D694" i="5"/>
  <c r="C694" i="5"/>
  <c r="D671" i="5"/>
  <c r="C671" i="5"/>
  <c r="D647" i="5"/>
  <c r="C647" i="5"/>
  <c r="E624" i="5"/>
  <c r="D624" i="5"/>
  <c r="C624" i="5"/>
  <c r="F601" i="5"/>
  <c r="E601" i="5"/>
  <c r="D601" i="5"/>
  <c r="C601" i="5"/>
  <c r="E581" i="5"/>
  <c r="D581" i="5"/>
  <c r="C581" i="5"/>
  <c r="F558" i="5"/>
  <c r="E558" i="5"/>
  <c r="D558" i="5"/>
  <c r="C558" i="5"/>
  <c r="F540" i="5"/>
  <c r="E540" i="5"/>
  <c r="D540" i="5"/>
  <c r="C540" i="5"/>
  <c r="E523" i="5"/>
  <c r="D523" i="5"/>
  <c r="C523" i="5"/>
  <c r="D501" i="5"/>
  <c r="C501" i="5"/>
  <c r="D477" i="5"/>
  <c r="C477" i="5"/>
  <c r="D453" i="5"/>
  <c r="C453" i="5"/>
  <c r="E432" i="5"/>
  <c r="D432" i="5"/>
  <c r="C432" i="5"/>
  <c r="F410" i="5"/>
  <c r="D410" i="5"/>
  <c r="C410" i="5"/>
  <c r="E388" i="5"/>
  <c r="D388" i="5"/>
  <c r="C388" i="5"/>
  <c r="E910" i="5"/>
  <c r="D910" i="5"/>
  <c r="C910" i="5"/>
  <c r="D889" i="5"/>
  <c r="C889" i="5"/>
  <c r="D875" i="5"/>
  <c r="C875" i="5"/>
  <c r="D855" i="5"/>
  <c r="C855" i="5"/>
  <c r="F838" i="5"/>
  <c r="E838" i="5"/>
  <c r="D838" i="5"/>
  <c r="C838" i="5"/>
  <c r="D817" i="5"/>
  <c r="C817" i="5"/>
  <c r="D798" i="5"/>
  <c r="C798" i="5"/>
  <c r="C778" i="5"/>
  <c r="D757" i="5"/>
  <c r="C757" i="5"/>
  <c r="D715" i="5"/>
  <c r="C715" i="5"/>
  <c r="C696" i="5"/>
  <c r="C649" i="5"/>
  <c r="F626" i="5"/>
  <c r="E626" i="5"/>
  <c r="D626" i="5"/>
  <c r="C626" i="5"/>
  <c r="F603" i="5"/>
  <c r="E603" i="5"/>
  <c r="D603" i="5"/>
  <c r="C603" i="5"/>
  <c r="E560" i="5" l="1"/>
  <c r="D560" i="5"/>
  <c r="C560" i="5"/>
  <c r="F542" i="5"/>
  <c r="E542" i="5"/>
  <c r="D542" i="5"/>
  <c r="C542" i="5"/>
  <c r="C503" i="5"/>
  <c r="D455" i="5"/>
  <c r="C455" i="5"/>
  <c r="E434" i="5"/>
  <c r="D434" i="5"/>
  <c r="C434" i="5"/>
  <c r="J3005" i="5" l="1"/>
  <c r="K3005" i="5"/>
  <c r="L3005" i="5"/>
  <c r="M3005" i="5"/>
  <c r="I3005" i="5"/>
  <c r="E370" i="5" l="1"/>
  <c r="F370" i="5"/>
  <c r="E366" i="5"/>
  <c r="F366" i="5"/>
  <c r="E364" i="5"/>
  <c r="F364" i="5"/>
  <c r="E347" i="5"/>
  <c r="F347" i="5"/>
  <c r="E345" i="5"/>
  <c r="F345" i="5"/>
  <c r="E343" i="5"/>
  <c r="F343" i="5"/>
  <c r="E341" i="5"/>
  <c r="F341" i="5"/>
  <c r="E326" i="5"/>
  <c r="F326" i="5"/>
  <c r="E323" i="5"/>
  <c r="F323" i="5"/>
  <c r="E320" i="5"/>
  <c r="F320" i="5"/>
  <c r="E300" i="5"/>
  <c r="F300" i="5"/>
  <c r="E298" i="5"/>
  <c r="F298" i="5"/>
  <c r="E296" i="5"/>
  <c r="F296" i="5"/>
  <c r="E294" i="5"/>
  <c r="F294" i="5"/>
  <c r="E279" i="5"/>
  <c r="F279" i="5"/>
  <c r="E275" i="5"/>
  <c r="F275" i="5"/>
  <c r="E272" i="5"/>
  <c r="F272" i="5"/>
  <c r="E257" i="5"/>
  <c r="F257" i="5"/>
  <c r="E252" i="5"/>
  <c r="F252" i="5"/>
  <c r="E250" i="5"/>
  <c r="F250" i="5"/>
  <c r="E234" i="5"/>
  <c r="F234" i="5"/>
  <c r="E230" i="5"/>
  <c r="F230" i="5"/>
  <c r="E228" i="5"/>
  <c r="F228" i="5"/>
  <c r="E211" i="5"/>
  <c r="F211" i="5"/>
  <c r="E210" i="5"/>
  <c r="F210" i="5"/>
  <c r="E208" i="5"/>
  <c r="F208" i="5"/>
  <c r="E206" i="5"/>
  <c r="F206" i="5"/>
  <c r="E204" i="5"/>
  <c r="F204" i="5"/>
  <c r="E188" i="5"/>
  <c r="F188" i="5"/>
  <c r="E184" i="5"/>
  <c r="F184" i="5"/>
  <c r="E182" i="5"/>
  <c r="F182" i="5"/>
  <c r="E165" i="5"/>
  <c r="F165" i="5"/>
  <c r="E163" i="5"/>
  <c r="F163" i="5"/>
  <c r="E160" i="5"/>
  <c r="F160" i="5"/>
  <c r="E159" i="5"/>
  <c r="F159" i="5"/>
  <c r="E142" i="5"/>
  <c r="F142" i="5"/>
  <c r="E139" i="5"/>
  <c r="F139" i="5"/>
  <c r="E138" i="5"/>
  <c r="F138" i="5"/>
  <c r="E135" i="5"/>
  <c r="F135" i="5"/>
  <c r="E119" i="5"/>
  <c r="F119" i="5"/>
  <c r="E115" i="5"/>
  <c r="F115" i="5"/>
  <c r="E114" i="5"/>
  <c r="F114" i="5"/>
  <c r="E99" i="5"/>
  <c r="F99" i="5"/>
  <c r="E95" i="5"/>
  <c r="F95" i="5"/>
  <c r="E93" i="5"/>
  <c r="F93" i="5"/>
  <c r="E77" i="5"/>
  <c r="F77" i="5"/>
  <c r="E74" i="5"/>
  <c r="F74" i="5"/>
  <c r="E72" i="5"/>
  <c r="F72" i="5"/>
  <c r="E71" i="5"/>
  <c r="F71" i="5"/>
  <c r="E55" i="5"/>
  <c r="F55" i="5"/>
  <c r="E52" i="5"/>
  <c r="F52" i="5"/>
  <c r="E50" i="5"/>
  <c r="F50" i="5"/>
  <c r="E34" i="5"/>
  <c r="F34" i="5"/>
  <c r="E30" i="5"/>
  <c r="F30" i="5"/>
  <c r="E27" i="5"/>
  <c r="F27" i="5"/>
  <c r="E25" i="5"/>
  <c r="F25" i="5"/>
  <c r="E12" i="5"/>
  <c r="F12" i="5"/>
  <c r="E9" i="5"/>
  <c r="F9" i="5"/>
  <c r="E7" i="5"/>
  <c r="F7" i="5"/>
  <c r="E5" i="5"/>
  <c r="F5" i="5"/>
  <c r="F3" i="5"/>
  <c r="C326" i="5"/>
  <c r="D300" i="5"/>
  <c r="C300" i="5"/>
  <c r="E256" i="5"/>
  <c r="D256" i="5"/>
  <c r="C256" i="5"/>
  <c r="D211" i="5"/>
  <c r="C211" i="5"/>
  <c r="F187" i="5"/>
  <c r="D187" i="5"/>
  <c r="C187" i="5"/>
  <c r="F164" i="5"/>
  <c r="E164" i="5"/>
  <c r="D164" i="5"/>
  <c r="C164" i="5"/>
  <c r="D142" i="5"/>
  <c r="C142" i="5"/>
  <c r="F33" i="5"/>
  <c r="E33" i="5"/>
  <c r="D33" i="5"/>
  <c r="C33" i="5"/>
  <c r="F365" i="5"/>
  <c r="E365" i="5"/>
  <c r="D365" i="5"/>
  <c r="C365" i="5"/>
  <c r="D343" i="5"/>
  <c r="C343" i="5"/>
  <c r="F322" i="5"/>
  <c r="E322" i="5"/>
  <c r="D322" i="5"/>
  <c r="C322" i="5"/>
  <c r="D296" i="5"/>
  <c r="C296" i="5"/>
  <c r="F274" i="5"/>
  <c r="E274" i="5"/>
  <c r="D274" i="5"/>
  <c r="C274" i="5"/>
  <c r="F251" i="5"/>
  <c r="E251" i="5"/>
  <c r="D251" i="5"/>
  <c r="C251" i="5"/>
  <c r="F229" i="5"/>
  <c r="E229" i="5"/>
  <c r="D229" i="5"/>
  <c r="C229" i="5"/>
  <c r="D206" i="5"/>
  <c r="C206" i="5"/>
  <c r="E183" i="5"/>
  <c r="D183" i="5"/>
  <c r="C183" i="5"/>
  <c r="C160" i="5"/>
  <c r="F137" i="5"/>
  <c r="E137" i="5"/>
  <c r="D137" i="5"/>
  <c r="C137" i="5"/>
  <c r="C115" i="5"/>
  <c r="F94" i="5"/>
  <c r="E94" i="5"/>
  <c r="D94" i="5"/>
  <c r="C94" i="5"/>
  <c r="D72" i="5"/>
  <c r="C72" i="5"/>
  <c r="D51" i="5"/>
  <c r="C51" i="5"/>
  <c r="F29" i="5"/>
  <c r="E29" i="5"/>
  <c r="D29" i="5"/>
  <c r="C29" i="5"/>
  <c r="D7" i="5"/>
  <c r="C7" i="5"/>
  <c r="C345" i="5"/>
  <c r="C298" i="5"/>
  <c r="C208" i="5"/>
  <c r="E162" i="5"/>
  <c r="D162" i="5"/>
  <c r="C162" i="5"/>
  <c r="D139" i="5"/>
  <c r="C139" i="5"/>
  <c r="C74" i="5"/>
  <c r="D9" i="5"/>
  <c r="C9" i="5"/>
  <c r="M3" i="5"/>
  <c r="L3" i="5"/>
  <c r="K3" i="5"/>
  <c r="I3" i="5"/>
  <c r="J2844" i="5"/>
  <c r="K2844" i="5"/>
  <c r="L2844" i="5"/>
  <c r="M2844" i="5"/>
  <c r="I2844" i="5"/>
  <c r="J3" i="5" l="1"/>
  <c r="M51" i="6"/>
  <c r="C61" i="6" s="1"/>
  <c r="K51" i="6"/>
  <c r="I51" i="6"/>
  <c r="C58" i="6" s="1"/>
  <c r="G51" i="6"/>
  <c r="H51" i="6" s="1"/>
  <c r="H9" i="6" s="1"/>
  <c r="D51" i="6"/>
  <c r="L51" i="6" s="1"/>
  <c r="L9" i="6" s="1"/>
  <c r="E51" i="6"/>
  <c r="J51" i="6" s="1"/>
  <c r="J9" i="6" s="1"/>
  <c r="O38" i="6"/>
  <c r="O42" i="6"/>
  <c r="O27" i="6"/>
  <c r="O48" i="6"/>
  <c r="O44" i="6"/>
  <c r="O31" i="6"/>
  <c r="O50" i="6"/>
  <c r="N30" i="6"/>
  <c r="N38" i="6"/>
  <c r="N32" i="6"/>
  <c r="N46" i="6"/>
  <c r="N34" i="6"/>
  <c r="N42" i="6"/>
  <c r="N33" i="6"/>
  <c r="N37" i="6"/>
  <c r="N29" i="6"/>
  <c r="N27" i="6"/>
  <c r="N49" i="6"/>
  <c r="N39" i="6"/>
  <c r="N47" i="6"/>
  <c r="N48" i="6"/>
  <c r="N45" i="6"/>
  <c r="N41" i="6"/>
  <c r="N40" i="6"/>
  <c r="N44" i="6"/>
  <c r="N36" i="6"/>
  <c r="N25" i="6"/>
  <c r="N35" i="6"/>
  <c r="N31" i="6"/>
  <c r="N43" i="6"/>
  <c r="N28" i="6"/>
  <c r="N26" i="6"/>
  <c r="N50" i="6"/>
  <c r="L30" i="6"/>
  <c r="L38" i="6"/>
  <c r="L32" i="6"/>
  <c r="L46" i="6"/>
  <c r="L34" i="6"/>
  <c r="L42" i="6"/>
  <c r="L33" i="6"/>
  <c r="L37" i="6"/>
  <c r="L29" i="6"/>
  <c r="L27" i="6"/>
  <c r="L49" i="6"/>
  <c r="L39" i="6"/>
  <c r="L47" i="6"/>
  <c r="L48" i="6"/>
  <c r="L45" i="6"/>
  <c r="L41" i="6"/>
  <c r="L40" i="6"/>
  <c r="L44" i="6"/>
  <c r="L36" i="6"/>
  <c r="L25" i="6"/>
  <c r="L35" i="6"/>
  <c r="L31" i="6"/>
  <c r="L43" i="6"/>
  <c r="L28" i="6"/>
  <c r="L26" i="6"/>
  <c r="L50" i="6"/>
  <c r="J30" i="6"/>
  <c r="J38" i="6"/>
  <c r="J32" i="6"/>
  <c r="J46" i="6"/>
  <c r="J34" i="6"/>
  <c r="J42" i="6"/>
  <c r="J33" i="6"/>
  <c r="J37" i="6"/>
  <c r="J29" i="6"/>
  <c r="J27" i="6"/>
  <c r="J49" i="6"/>
  <c r="J39" i="6"/>
  <c r="J47" i="6"/>
  <c r="J48" i="6"/>
  <c r="J45" i="6"/>
  <c r="J41" i="6"/>
  <c r="J40" i="6"/>
  <c r="J44" i="6"/>
  <c r="J36" i="6"/>
  <c r="J25" i="6"/>
  <c r="J35" i="6"/>
  <c r="J31" i="6"/>
  <c r="J43" i="6"/>
  <c r="J28" i="6"/>
  <c r="J26" i="6"/>
  <c r="J50" i="6"/>
  <c r="H30" i="6"/>
  <c r="O30" i="6" s="1"/>
  <c r="H38" i="6"/>
  <c r="H32" i="6"/>
  <c r="H46" i="6"/>
  <c r="H34" i="6"/>
  <c r="O34" i="6" s="1"/>
  <c r="H42" i="6"/>
  <c r="H33" i="6"/>
  <c r="H37" i="6"/>
  <c r="H29" i="6"/>
  <c r="O29" i="6" s="1"/>
  <c r="H27" i="6"/>
  <c r="H49" i="6"/>
  <c r="H39" i="6"/>
  <c r="H47" i="6"/>
  <c r="O47" i="6" s="1"/>
  <c r="H48" i="6"/>
  <c r="H45" i="6"/>
  <c r="H41" i="6"/>
  <c r="H40" i="6"/>
  <c r="O40" i="6" s="1"/>
  <c r="H44" i="6"/>
  <c r="H36" i="6"/>
  <c r="H25" i="6"/>
  <c r="H35" i="6"/>
  <c r="O35" i="6" s="1"/>
  <c r="H31" i="6"/>
  <c r="H43" i="6"/>
  <c r="H28" i="6"/>
  <c r="H26" i="6"/>
  <c r="O26" i="6" s="1"/>
  <c r="H50" i="6"/>
  <c r="F30" i="6"/>
  <c r="F38" i="6"/>
  <c r="F32" i="6"/>
  <c r="O32" i="6" s="1"/>
  <c r="F46" i="6"/>
  <c r="O46" i="6" s="1"/>
  <c r="F34" i="6"/>
  <c r="F42" i="6"/>
  <c r="F33" i="6"/>
  <c r="O33" i="6" s="1"/>
  <c r="F37" i="6"/>
  <c r="O37" i="6" s="1"/>
  <c r="F29" i="6"/>
  <c r="F27" i="6"/>
  <c r="F49" i="6"/>
  <c r="O49" i="6" s="1"/>
  <c r="F39" i="6"/>
  <c r="O39" i="6" s="1"/>
  <c r="F47" i="6"/>
  <c r="F48" i="6"/>
  <c r="F45" i="6"/>
  <c r="O45" i="6" s="1"/>
  <c r="F41" i="6"/>
  <c r="O41" i="6" s="1"/>
  <c r="F40" i="6"/>
  <c r="F44" i="6"/>
  <c r="F36" i="6"/>
  <c r="O36" i="6" s="1"/>
  <c r="F25" i="6"/>
  <c r="O25" i="6" s="1"/>
  <c r="F35" i="6"/>
  <c r="F31" i="6"/>
  <c r="F43" i="6"/>
  <c r="O43" i="6" s="1"/>
  <c r="F28" i="6"/>
  <c r="O28" i="6" s="1"/>
  <c r="F26" i="6"/>
  <c r="F50" i="6"/>
  <c r="C30" i="6"/>
  <c r="C38" i="6"/>
  <c r="C32" i="6"/>
  <c r="C46" i="6"/>
  <c r="C34" i="6"/>
  <c r="C42" i="6"/>
  <c r="C33" i="6"/>
  <c r="C37" i="6"/>
  <c r="C29" i="6"/>
  <c r="C27" i="6"/>
  <c r="C49" i="6"/>
  <c r="C39" i="6"/>
  <c r="C47" i="6"/>
  <c r="C48" i="6"/>
  <c r="C45" i="6"/>
  <c r="C41" i="6"/>
  <c r="C40" i="6"/>
  <c r="C44" i="6"/>
  <c r="C36" i="6"/>
  <c r="C25" i="6"/>
  <c r="C51" i="6" s="1"/>
  <c r="C9" i="6" s="1"/>
  <c r="C35" i="6"/>
  <c r="C31" i="6"/>
  <c r="C43" i="6"/>
  <c r="C28" i="6"/>
  <c r="C26" i="6"/>
  <c r="C50" i="6"/>
  <c r="C60" i="6"/>
  <c r="D60" i="6" s="1"/>
  <c r="C54" i="6"/>
  <c r="C53" i="6"/>
  <c r="K9" i="6"/>
  <c r="I9" i="6"/>
  <c r="E9" i="6"/>
  <c r="M9" i="6" l="1"/>
  <c r="C55" i="6"/>
  <c r="C57" i="6"/>
  <c r="G9" i="6"/>
  <c r="D9" i="6"/>
  <c r="D61" i="6"/>
  <c r="F51" i="6"/>
  <c r="N51" i="6"/>
  <c r="N9" i="6" s="1"/>
  <c r="F9" i="6" l="1"/>
  <c r="O51" i="6"/>
  <c r="O9" i="6" s="1"/>
  <c r="I3" i="4" l="1"/>
  <c r="E629" i="4"/>
  <c r="G629" i="4"/>
  <c r="F629" i="4"/>
  <c r="E626" i="4"/>
  <c r="F626" i="4"/>
  <c r="E624" i="4"/>
  <c r="F624" i="4"/>
  <c r="E622" i="4"/>
  <c r="F622" i="4"/>
  <c r="E618" i="4"/>
  <c r="F618" i="4"/>
  <c r="E606" i="4"/>
  <c r="F606" i="4"/>
  <c r="E604" i="4"/>
  <c r="G604" i="4"/>
  <c r="F604" i="4"/>
  <c r="E603" i="4"/>
  <c r="F603" i="4"/>
  <c r="E600" i="4"/>
  <c r="E582" i="4"/>
  <c r="F582" i="4"/>
  <c r="E579" i="4"/>
  <c r="F579" i="4"/>
  <c r="E577" i="4"/>
  <c r="F577" i="4"/>
  <c r="E575" i="4"/>
  <c r="F575" i="4"/>
  <c r="E558" i="4"/>
  <c r="G558" i="4"/>
  <c r="F558" i="4"/>
  <c r="G555" i="4"/>
  <c r="E555" i="4"/>
  <c r="F555" i="4"/>
  <c r="E553" i="4"/>
  <c r="F553" i="4"/>
  <c r="E551" i="4"/>
  <c r="F551" i="4"/>
  <c r="E535" i="4"/>
  <c r="F535" i="4"/>
  <c r="E532" i="4"/>
  <c r="F532" i="4"/>
  <c r="G531" i="4"/>
  <c r="E531" i="4"/>
  <c r="F531" i="4"/>
  <c r="E528" i="4"/>
  <c r="F528" i="4"/>
  <c r="E525" i="4"/>
  <c r="F525" i="4"/>
  <c r="E512" i="4"/>
  <c r="F512" i="4"/>
  <c r="E509" i="4"/>
  <c r="F509" i="4"/>
  <c r="E507" i="4"/>
  <c r="F507" i="4"/>
  <c r="E505" i="4"/>
  <c r="F505" i="4"/>
  <c r="E488" i="4"/>
  <c r="F488" i="4"/>
  <c r="E486" i="4"/>
  <c r="F486" i="4"/>
  <c r="E485" i="4"/>
  <c r="F485" i="4"/>
  <c r="E482" i="4"/>
  <c r="F482" i="4"/>
  <c r="E479" i="4"/>
  <c r="F479" i="4"/>
  <c r="E465" i="4"/>
  <c r="F465" i="4"/>
  <c r="E461" i="4"/>
  <c r="F461" i="4"/>
  <c r="E460" i="4"/>
  <c r="F460" i="4"/>
  <c r="E457" i="4"/>
  <c r="F457" i="4"/>
  <c r="E440" i="4"/>
  <c r="F440" i="4"/>
  <c r="E438" i="4"/>
  <c r="F438" i="4"/>
  <c r="E436" i="4"/>
  <c r="F436" i="4"/>
  <c r="E434" i="4"/>
  <c r="F434" i="4"/>
  <c r="E431" i="4"/>
  <c r="F431" i="4"/>
  <c r="E417" i="4"/>
  <c r="F417" i="4"/>
  <c r="E414" i="4"/>
  <c r="F414" i="4"/>
  <c r="E412" i="4"/>
  <c r="F412" i="4"/>
  <c r="E410" i="4"/>
  <c r="F410" i="4"/>
  <c r="E393" i="4"/>
  <c r="F393" i="4"/>
  <c r="E389" i="4"/>
  <c r="G389" i="4"/>
  <c r="F389" i="4"/>
  <c r="E387" i="4"/>
  <c r="F387" i="4"/>
  <c r="E385" i="4"/>
  <c r="F385" i="4"/>
  <c r="G385" i="4"/>
  <c r="E379" i="4"/>
  <c r="F379" i="4"/>
  <c r="E366" i="4"/>
  <c r="F366" i="4"/>
  <c r="E363" i="4"/>
  <c r="F363" i="4"/>
  <c r="E361" i="4"/>
  <c r="G361" i="4"/>
  <c r="F361" i="4"/>
  <c r="E359" i="4"/>
  <c r="F359" i="4"/>
  <c r="E342" i="4"/>
  <c r="G342" i="4"/>
  <c r="F342" i="4"/>
  <c r="E338" i="4"/>
  <c r="G338" i="4"/>
  <c r="F338" i="4"/>
  <c r="E336" i="4"/>
  <c r="F336" i="4"/>
  <c r="E335" i="4"/>
  <c r="F335" i="4"/>
  <c r="E328" i="4"/>
  <c r="F328" i="4"/>
  <c r="E313" i="4"/>
  <c r="F313" i="4"/>
  <c r="E310" i="4"/>
  <c r="F310" i="4"/>
  <c r="E308" i="4"/>
  <c r="F308" i="4"/>
  <c r="E306" i="4"/>
  <c r="F306" i="4"/>
  <c r="E286" i="4"/>
  <c r="F286" i="4"/>
  <c r="E282" i="4"/>
  <c r="F282" i="4"/>
  <c r="E280" i="4"/>
  <c r="F280" i="4"/>
  <c r="E278" i="4"/>
  <c r="F278" i="4"/>
  <c r="E275" i="4"/>
  <c r="F275" i="4"/>
  <c r="E261" i="4"/>
  <c r="F261" i="4"/>
  <c r="E258" i="4"/>
  <c r="F258" i="4"/>
  <c r="E255" i="4"/>
  <c r="F255" i="4"/>
  <c r="E254" i="4"/>
  <c r="F254" i="4"/>
  <c r="E247" i="4"/>
  <c r="F247" i="4"/>
  <c r="E233" i="4"/>
  <c r="F233" i="4"/>
  <c r="E231" i="4"/>
  <c r="F231" i="4"/>
  <c r="E228" i="4"/>
  <c r="F228" i="4"/>
  <c r="E226" i="4"/>
  <c r="F226" i="4"/>
  <c r="E210" i="4"/>
  <c r="F210" i="4"/>
  <c r="E205" i="4"/>
  <c r="F205" i="4"/>
  <c r="E204" i="4"/>
  <c r="F204" i="4"/>
  <c r="E202" i="4"/>
  <c r="F202" i="4"/>
  <c r="E197" i="4"/>
  <c r="F197" i="4"/>
  <c r="E183" i="4"/>
  <c r="F183" i="4"/>
  <c r="E181" i="4"/>
  <c r="F181" i="4"/>
  <c r="E179" i="4"/>
  <c r="F179" i="4"/>
  <c r="E178" i="4"/>
  <c r="F178" i="4"/>
  <c r="E160" i="4"/>
  <c r="F160" i="4"/>
  <c r="F156" i="4"/>
  <c r="E154" i="4"/>
  <c r="F154" i="4"/>
  <c r="E152" i="4"/>
  <c r="F152" i="4"/>
  <c r="E136" i="4"/>
  <c r="F136" i="4"/>
  <c r="E133" i="4"/>
  <c r="F133" i="4"/>
  <c r="E131" i="4"/>
  <c r="F131" i="4"/>
  <c r="E129" i="4"/>
  <c r="F129" i="4"/>
  <c r="E112" i="4"/>
  <c r="F112" i="4"/>
  <c r="E108" i="4"/>
  <c r="F108" i="4"/>
  <c r="E107" i="4"/>
  <c r="F107" i="4"/>
  <c r="E105" i="4"/>
  <c r="F105" i="4"/>
  <c r="E88" i="4"/>
  <c r="F88" i="4"/>
  <c r="E85" i="4"/>
  <c r="F85" i="4"/>
  <c r="E83" i="4"/>
  <c r="F83" i="4"/>
  <c r="E81" i="4"/>
  <c r="F81" i="4"/>
  <c r="E78" i="4"/>
  <c r="F78" i="4"/>
  <c r="E66" i="4"/>
  <c r="F66" i="4"/>
  <c r="E63" i="4"/>
  <c r="F63" i="4"/>
  <c r="E61" i="4"/>
  <c r="F61" i="4"/>
  <c r="E59" i="4"/>
  <c r="F59" i="4"/>
  <c r="E57" i="4"/>
  <c r="F57" i="4"/>
  <c r="E43" i="4"/>
  <c r="F43" i="4"/>
  <c r="E41" i="4"/>
  <c r="F41" i="4"/>
  <c r="E39" i="4"/>
  <c r="F39" i="4"/>
  <c r="E37" i="4"/>
  <c r="F37" i="4"/>
  <c r="E17" i="4"/>
  <c r="F17" i="4"/>
  <c r="E15" i="4"/>
  <c r="F15" i="4"/>
  <c r="I16" i="4"/>
  <c r="E12" i="4"/>
  <c r="F12" i="4"/>
  <c r="E10" i="4"/>
  <c r="F10" i="4"/>
  <c r="E9" i="4"/>
  <c r="F9" i="4"/>
  <c r="E3" i="4"/>
  <c r="F3" i="4"/>
  <c r="M3" i="4"/>
  <c r="L3" i="4"/>
  <c r="K3" i="4"/>
  <c r="J775" i="4"/>
  <c r="K775" i="4"/>
  <c r="L775" i="4"/>
  <c r="M775" i="4"/>
  <c r="I775" i="4"/>
  <c r="J3" i="4" l="1"/>
  <c r="C629" i="4"/>
  <c r="D582" i="4"/>
  <c r="C582" i="4"/>
  <c r="C558" i="4"/>
  <c r="G534" i="4"/>
  <c r="E534" i="4"/>
  <c r="D534" i="4"/>
  <c r="C534" i="4"/>
  <c r="F511" i="4"/>
  <c r="E511" i="4"/>
  <c r="D511" i="4"/>
  <c r="C511" i="4"/>
  <c r="D488" i="4"/>
  <c r="C488" i="4"/>
  <c r="D465" i="4"/>
  <c r="C465" i="4"/>
  <c r="D417" i="4"/>
  <c r="C417" i="4"/>
  <c r="C393" i="4"/>
  <c r="C342" i="4"/>
  <c r="E312" i="4"/>
  <c r="D312" i="4"/>
  <c r="C312" i="4"/>
  <c r="C286" i="4"/>
  <c r="F260" i="4"/>
  <c r="E260" i="4"/>
  <c r="D260" i="4"/>
  <c r="C260" i="4"/>
  <c r="D233" i="4"/>
  <c r="C233" i="4"/>
  <c r="E209" i="4"/>
  <c r="D209" i="4"/>
  <c r="C209" i="4"/>
  <c r="D183" i="4"/>
  <c r="C183" i="4"/>
  <c r="E159" i="4"/>
  <c r="D159" i="4"/>
  <c r="C159" i="4"/>
  <c r="F111" i="4"/>
  <c r="D111" i="4"/>
  <c r="C111" i="4"/>
  <c r="D88" i="4"/>
  <c r="C88" i="4"/>
  <c r="D66" i="4"/>
  <c r="C66" i="4"/>
  <c r="F16" i="4"/>
  <c r="E16" i="4"/>
  <c r="D16" i="4"/>
  <c r="C16" i="4"/>
  <c r="D624" i="4"/>
  <c r="C624" i="4"/>
  <c r="E602" i="4"/>
  <c r="D602" i="4"/>
  <c r="C602" i="4"/>
  <c r="C577" i="4"/>
  <c r="C553" i="4"/>
  <c r="G530" i="4"/>
  <c r="F530" i="4"/>
  <c r="E530" i="4"/>
  <c r="D530" i="4"/>
  <c r="C530" i="4"/>
  <c r="D507" i="4"/>
  <c r="C507" i="4"/>
  <c r="F484" i="4"/>
  <c r="E484" i="4"/>
  <c r="D484" i="4"/>
  <c r="C484" i="4"/>
  <c r="F459" i="4"/>
  <c r="D459" i="4"/>
  <c r="C459" i="4"/>
  <c r="C436" i="4"/>
  <c r="C412" i="4"/>
  <c r="C387" i="4"/>
  <c r="C361" i="4"/>
  <c r="C336" i="4"/>
  <c r="D308" i="4"/>
  <c r="C308" i="4"/>
  <c r="D280" i="4"/>
  <c r="C280" i="4"/>
  <c r="D255" i="4"/>
  <c r="C255" i="4"/>
  <c r="D228" i="4"/>
  <c r="C228" i="4"/>
  <c r="F203" i="4"/>
  <c r="E203" i="4"/>
  <c r="D203" i="4"/>
  <c r="C203" i="4"/>
  <c r="D179" i="4"/>
  <c r="C179" i="4"/>
  <c r="D154" i="4"/>
  <c r="C154" i="4"/>
  <c r="C131" i="4"/>
  <c r="E106" i="4"/>
  <c r="D106" i="4"/>
  <c r="C106" i="4"/>
  <c r="D83" i="4"/>
  <c r="C83" i="4"/>
  <c r="D61" i="4"/>
  <c r="C61" i="4"/>
  <c r="C39" i="4"/>
  <c r="C10" i="4"/>
  <c r="C626" i="4"/>
  <c r="C604" i="4"/>
  <c r="D579" i="4"/>
  <c r="C579" i="4"/>
  <c r="C555" i="4"/>
  <c r="D532" i="4"/>
  <c r="C532" i="4"/>
  <c r="C509" i="4"/>
  <c r="C486" i="4"/>
  <c r="C461" i="4"/>
  <c r="C438" i="4"/>
  <c r="C414" i="4"/>
  <c r="C389" i="4"/>
  <c r="C363" i="4"/>
  <c r="C338" i="4"/>
  <c r="C310" i="4"/>
  <c r="C282" i="4"/>
  <c r="F257" i="4"/>
  <c r="E257" i="4"/>
  <c r="D257" i="4"/>
  <c r="C257" i="4"/>
  <c r="F230" i="4"/>
  <c r="E230" i="4"/>
  <c r="D230" i="4"/>
  <c r="C230" i="4"/>
  <c r="C205" i="4"/>
  <c r="C181" i="4"/>
  <c r="C156" i="4"/>
  <c r="C133" i="4"/>
  <c r="C108" i="4"/>
  <c r="D85" i="4"/>
  <c r="C85" i="4"/>
  <c r="C63" i="4"/>
  <c r="C41" i="4"/>
  <c r="C12" i="4"/>
</calcChain>
</file>

<file path=xl/sharedStrings.xml><?xml version="1.0" encoding="utf-8"?>
<sst xmlns="http://schemas.openxmlformats.org/spreadsheetml/2006/main" count="9937" uniqueCount="274">
  <si>
    <t>TipPostupka</t>
  </si>
  <si>
    <t>Достављања пројекта за извођење за објекте из члана 133. за које су предвиђене мере заштите културних добара</t>
  </si>
  <si>
    <t>Достављање техничке документације у погледу мера заштите од пожара</t>
  </si>
  <si>
    <t>Достављање техничке документације у погледу мера заштите од пожара на основу усаглашеног захтева</t>
  </si>
  <si>
    <t>Подношење жалбе/приговора</t>
  </si>
  <si>
    <t>Подношење захтева за издавање употребне дозволе</t>
  </si>
  <si>
    <t>Подношење захтева за остале поступке (одустанак, клаузула правноснажности, исправка техничке грешке и сл.)</t>
  </si>
  <si>
    <t>Подношење захтева за прикључење на комуналну и другу инфраструктуру</t>
  </si>
  <si>
    <t>Подношење пријаве завршетка израде темеља</t>
  </si>
  <si>
    <t>Подношење пријаве завршетка објекта у конструктивном смислу</t>
  </si>
  <si>
    <t>Подношење пријаве радова</t>
  </si>
  <si>
    <t>Подношење усаглашеног захтева за издавање употребне дозволе</t>
  </si>
  <si>
    <t>NadlezniOrgan</t>
  </si>
  <si>
    <t>BrPodnetihPrijava</t>
  </si>
  <si>
    <t>BrResenihPrijava</t>
  </si>
  <si>
    <t>BrPozitivnoResenihPrijava</t>
  </si>
  <si>
    <t>BrNegativnoResenihPrijava</t>
  </si>
  <si>
    <t>BrObustavljenihPrijava</t>
  </si>
  <si>
    <t>ГРАД КРАЉЕВО</t>
  </si>
  <si>
    <t>ГРАД ЛЕСКОВАЦ</t>
  </si>
  <si>
    <t>ГРАД ПАНЧЕВО</t>
  </si>
  <si>
    <t>ГРАД СОМБОР</t>
  </si>
  <si>
    <t>ГРАДСКА ОПШТИНА ГРОЦКА</t>
  </si>
  <si>
    <t>ОПШТИНА ПЕЋИНЦИ</t>
  </si>
  <si>
    <t>ОПШТИНА РУМА</t>
  </si>
  <si>
    <t>ОПШТИНА СЕЧАЊ</t>
  </si>
  <si>
    <t>ГРАД ЛОЗНИЦА</t>
  </si>
  <si>
    <t>Контрола активности на предмету - Регистратор</t>
  </si>
  <si>
    <t>ОПШТИНА КОВИН</t>
  </si>
  <si>
    <t>ГРАД ЈАГОДИНА</t>
  </si>
  <si>
    <t>ГРАД ПИРОТ</t>
  </si>
  <si>
    <t>ГРАДСКА ОПШТИНА ЛАЗАРЕВАЦ</t>
  </si>
  <si>
    <t>ГРАДСКА ОПШТИНА ОБРЕНОВАЦ</t>
  </si>
  <si>
    <t>ОПШТИНА ВЕЛИКО ГРАДИШТЕ</t>
  </si>
  <si>
    <t>ОПШТИНА КАЊИЖА</t>
  </si>
  <si>
    <t>ОПШТИНА ЛУЧАНИ</t>
  </si>
  <si>
    <t>ОПШТИНА МАЛИ ЗВОРНИК</t>
  </si>
  <si>
    <t>ОПШТИНА ПРИЈЕПОЉЕ</t>
  </si>
  <si>
    <t>ОПШТИНА СВРЉИГ</t>
  </si>
  <si>
    <t>ОПШТИНА БОГАТИЋ</t>
  </si>
  <si>
    <t>ОПШТИНА ЖИТИШТЕ</t>
  </si>
  <si>
    <t>ОПШТИНА ЖИТОРАЂА</t>
  </si>
  <si>
    <t>ОПШТИНА КНИЋ</t>
  </si>
  <si>
    <t>ОПШТИНА ЛАПОВО</t>
  </si>
  <si>
    <t>ОПШТИНА ТИТЕЛ</t>
  </si>
  <si>
    <t>ОПШТИНА ВЛАДИМИРЦИ</t>
  </si>
  <si>
    <t>ОПШТИНА ВЛАСОТИНЦЕ</t>
  </si>
  <si>
    <t>ГРАДСКА ОПШТИНА БАРАЈЕВО</t>
  </si>
  <si>
    <t>ОПШТИНА ДОЉЕВАЦ</t>
  </si>
  <si>
    <t>ОПШТИНА ТЕМЕРИН</t>
  </si>
  <si>
    <t>ОПШТИНА БЕЛА ЦРКВА</t>
  </si>
  <si>
    <t>ГРАД СРЕМСКА МИТРОВИЦА</t>
  </si>
  <si>
    <t>ОПШТИНА ВЕЛИКА ПЛАНА</t>
  </si>
  <si>
    <t>ОПШТИНА АЛЕКСАНДРОВАЦ</t>
  </si>
  <si>
    <t>ОПШТИНА БАТОЧИНА</t>
  </si>
  <si>
    <t>ОПШТИНА НЕГОТИН</t>
  </si>
  <si>
    <t>ОПШТИНА СЕНТА</t>
  </si>
  <si>
    <t>ОПШТИНА ЖАГУБИЦА</t>
  </si>
  <si>
    <t>ОПШТИНА КЊАЖЕВАЦ</t>
  </si>
  <si>
    <t>ОПШТИНА ПАРАЋИН</t>
  </si>
  <si>
    <t>ОПШТИНА ПРИБОЈ</t>
  </si>
  <si>
    <t>ГРАД ШАБАЦ</t>
  </si>
  <si>
    <t>ГРАДСКА ОПШТИНА СТАРИ ГРАД</t>
  </si>
  <si>
    <t>ОПШТИНА БАЧ</t>
  </si>
  <si>
    <t>ОПШТИНА БЕОЧИН</t>
  </si>
  <si>
    <t>ОПШТИНА БЛАЦЕ</t>
  </si>
  <si>
    <t>ОПШТИНА КУЧЕВО</t>
  </si>
  <si>
    <t>ОПШТИНА АРИЉЕ</t>
  </si>
  <si>
    <t>ОПШТИНА СЈЕНИЦА</t>
  </si>
  <si>
    <t>ГРАД ПОЖАРЕВАЦ</t>
  </si>
  <si>
    <t>ОПШТИНА ШИД</t>
  </si>
  <si>
    <t>ГРАД КРАГУЈЕВАЦ</t>
  </si>
  <si>
    <t>ГРАД ВАЉЕВО</t>
  </si>
  <si>
    <t>ОПШТИНА АПАТИН</t>
  </si>
  <si>
    <t>ОПШТИНА ПОЖЕГА</t>
  </si>
  <si>
    <t>ОПШТИНА РАШКА</t>
  </si>
  <si>
    <t>ОПШТИНА УБ</t>
  </si>
  <si>
    <t>ГРАДСКА ОПШТИНА ВОЖДОВАЦ</t>
  </si>
  <si>
    <t>ГРАДСКА ОПШТИНА РАКОВИЦА</t>
  </si>
  <si>
    <t>ГРАДСКА ОПШТИНА СУРЧИН</t>
  </si>
  <si>
    <t>ОПШТИНА БУЈАНОВАЦ</t>
  </si>
  <si>
    <t>ОПШТИНА КУРШУМЛИЈА</t>
  </si>
  <si>
    <t>ОПШТИНА НОВА ВАРОШ</t>
  </si>
  <si>
    <t>ОПШТИНА НОВИ КНЕЖЕВАЦ</t>
  </si>
  <si>
    <t>ОПШТИНА ПЛАНДИШТЕ</t>
  </si>
  <si>
    <t>ОПШТИНА БЕЧЕЈ</t>
  </si>
  <si>
    <t>ОПШТИНА ГОРЊИ МИЛАНОВАЦ</t>
  </si>
  <si>
    <t>ОПШТИНА КРУПАЊ</t>
  </si>
  <si>
    <t>ОПШТИНА ПЕТРОВАЦ НА МЛАВИ</t>
  </si>
  <si>
    <t>ОПШТИНА АДА</t>
  </si>
  <si>
    <t>ОПШТИНА БАЈИНА БАШТА</t>
  </si>
  <si>
    <t>ОПШТИНА БАЧКА ТОПОЛА</t>
  </si>
  <si>
    <t>ОПШТИНА ЖАБАРИ</t>
  </si>
  <si>
    <t>ОПШТИНА СУРДУЛИЦА</t>
  </si>
  <si>
    <t>ГРАД ЗРЕЊАНИН</t>
  </si>
  <si>
    <t>ГРАД КИКИНДА</t>
  </si>
  <si>
    <t>ГРАД ЗАЈЕЧАР</t>
  </si>
  <si>
    <t>Замена решења по жалби/приговору</t>
  </si>
  <si>
    <t>ГРАД НОВИ САД</t>
  </si>
  <si>
    <t>ОПШТИНА БЕЛА ПАЛАНКА</t>
  </si>
  <si>
    <t>ГРАД ЧАЧАК</t>
  </si>
  <si>
    <t>ОПШТИНА ВАРВАРИН</t>
  </si>
  <si>
    <t>ОПШТИНА ИВАЊИЦА</t>
  </si>
  <si>
    <t>ГРАД СУБОТИЦА</t>
  </si>
  <si>
    <t>ОПШТИНА ПРЕШЕВО</t>
  </si>
  <si>
    <t>ОПШТИНА МЕДВЕЂА</t>
  </si>
  <si>
    <t>ОПШТИНА ПРОКУПЉЕ</t>
  </si>
  <si>
    <t>ОПШТИНА БОР</t>
  </si>
  <si>
    <t>ОПШТИНА БАЧКА ПАЛАНКА</t>
  </si>
  <si>
    <t>ГРАД ВРАЊЕ</t>
  </si>
  <si>
    <t>ОПШТИНА БАЧКИ ПЕТРОВАЦ</t>
  </si>
  <si>
    <t>ОПШТИНА ЛЕБАНЕ</t>
  </si>
  <si>
    <t>ГРАДСКА ОПШТИНА САВСКИ ВЕНАЦ</t>
  </si>
  <si>
    <t>ОПШТИНА ЉУБОВИЈА</t>
  </si>
  <si>
    <t>ОПШТИНА СМЕДЕРЕВСКА ПАЛАНКА</t>
  </si>
  <si>
    <t>ОПШТИНА ТОПОЛА</t>
  </si>
  <si>
    <t>ГРАДСКА ОПШТИНА ПАЛИЛУЛА</t>
  </si>
  <si>
    <t>ОПШТИНА НОВА ЦРЊА</t>
  </si>
  <si>
    <t>ОПШТИНА КОСЈЕРИЋ</t>
  </si>
  <si>
    <t>ГРАДСКА ОПШТИНА ЧУКАРИЦА</t>
  </si>
  <si>
    <t>ОПШТИНА ВРЊАЧКА БАЊА</t>
  </si>
  <si>
    <t>ОПШТИНА БРУС</t>
  </si>
  <si>
    <t>ОПШТИНА ТРСТЕНИК</t>
  </si>
  <si>
    <t>ГРАДСКА ОПШТИНА ЗЕМУН</t>
  </si>
  <si>
    <t>ОПШТИНА ТУТИН</t>
  </si>
  <si>
    <t>ОПШТИНА КОЦЕЉЕВА</t>
  </si>
  <si>
    <t>ГРАДСКА ОПШТИНА ЗВЕЗДАРА</t>
  </si>
  <si>
    <t>ОПШТИНА ТРГОВИШТЕ</t>
  </si>
  <si>
    <t>ОПШТИНА АЛИБУНАР</t>
  </si>
  <si>
    <t>ГРАД УЖИЦЕ</t>
  </si>
  <si>
    <t>ОПШТИНА ЋУПРИЈА</t>
  </si>
  <si>
    <t>ГРАД СМЕДЕРЕВО</t>
  </si>
  <si>
    <t>ОПШТИНА СРЕМСКИ КАРЛОВЦИ</t>
  </si>
  <si>
    <t>ГРАД ВРШАЦ</t>
  </si>
  <si>
    <t>ОПШТИНА БОСИЛЕГРАД</t>
  </si>
  <si>
    <t>ОПШТИНА ИРИГ</t>
  </si>
  <si>
    <t>ОПШТИНА СОКОБАЊА</t>
  </si>
  <si>
    <t>ОПШТИНА ЧАЈЕТИНА</t>
  </si>
  <si>
    <t>ОПШТИНА МИОНИЦА</t>
  </si>
  <si>
    <t>ОПШТИНА РЕКОВАЦ</t>
  </si>
  <si>
    <t>ОПШТИНА ДИМИТРОВГРАД</t>
  </si>
  <si>
    <t>ОПШТИНА АЛЕКСИНАЦ</t>
  </si>
  <si>
    <t>ОПШТИНА МАЛО ЦРНИЋЕ</t>
  </si>
  <si>
    <t>ОПШТИНА ВЛАДИЧИН ХАН</t>
  </si>
  <si>
    <t>ОПШТИНА КОВАЧИЦА</t>
  </si>
  <si>
    <t>ОПШТИНА КЛАДОВО</t>
  </si>
  <si>
    <t>ГРАДСКА ОПШТИНА СОПОТ</t>
  </si>
  <si>
    <t>ГРАД КРУШЕВАЦ</t>
  </si>
  <si>
    <t>ОПШТИНА ИНЂИЈА</t>
  </si>
  <si>
    <t>ГРАДСКА ОПШТИНА МЛАДЕНОВАЦ</t>
  </si>
  <si>
    <t>ОПШТИНА ЦРНА ТРАВА</t>
  </si>
  <si>
    <t>ОПШТИНА НОВИ БЕЧЕЈ</t>
  </si>
  <si>
    <t>ОПШТИНА СРБОБРАН</t>
  </si>
  <si>
    <t>ГРАД НОВИ ПАЗАР</t>
  </si>
  <si>
    <t>ОПШТИНА ДЕСПОТОВАЦ</t>
  </si>
  <si>
    <t>ОПШТИНА КУЛА</t>
  </si>
  <si>
    <t>ОПШТИНА ОПОВО</t>
  </si>
  <si>
    <t>ОПШТИНА ОЏАЦИ</t>
  </si>
  <si>
    <t>ОПШТИНА АРАНЂЕЛОВАЦ</t>
  </si>
  <si>
    <t>ОПШТИНА СВИЛАЈНАЦ</t>
  </si>
  <si>
    <t>ОПШТИНА МАЈДАНПЕК</t>
  </si>
  <si>
    <t>ОПШТИНА ОСЕЧИНА</t>
  </si>
  <si>
    <t>ОПШТИНА РАЧА</t>
  </si>
  <si>
    <t>ОПШТИНА ЉИГ</t>
  </si>
  <si>
    <t>ОПШТИНА МАЛИ ИЂОШ</t>
  </si>
  <si>
    <t>ОПШТИНА РАЖАЊ</t>
  </si>
  <si>
    <t>ОПШТИНА ЖАБАЉ</t>
  </si>
  <si>
    <t>ОПШТИНА БОЈНИК</t>
  </si>
  <si>
    <t>ГРАДСКА ОПШТИНА НОВИ БЕОГРАД</t>
  </si>
  <si>
    <t>ОПШТИНА СТАРА ПАЗОВА</t>
  </si>
  <si>
    <t>ОПШТИНА ВРБАС</t>
  </si>
  <si>
    <t>ОПШТИНА ЛАЈКОВАЦ</t>
  </si>
  <si>
    <t>ОПШТИНА МЕРОШИНА</t>
  </si>
  <si>
    <t>ОПШТИНА ЋИЋЕВАЦ</t>
  </si>
  <si>
    <t>Подношење усаглашеног захтева за издавање/измену грађевинске дозволе</t>
  </si>
  <si>
    <t>Подношење усаглашеног захтева за издавање/измену локацијских услова</t>
  </si>
  <si>
    <t xml:space="preserve">Подношење усаглашеног захтева за издавање/измену решења о одобрењу извођења радова </t>
  </si>
  <si>
    <t>Упис права својине и издавање решења о кућном броју</t>
  </si>
  <si>
    <t>ОПШТИНА БОЉЕВАЦ</t>
  </si>
  <si>
    <t>ОПШТИНА ГОЛУБАЦ</t>
  </si>
  <si>
    <t>ОПШТИНА ЧОКА</t>
  </si>
  <si>
    <t>ОПШТИНА ГАЏИН ХАН</t>
  </si>
  <si>
    <t>Подношење усаглашеног захтева за издавање/измену привремене грађевинске дозволе</t>
  </si>
  <si>
    <t>ОПШТИНА БАБУШНИЦА</t>
  </si>
  <si>
    <t>ГРАДСКА ОПШТИНА ВРАЧАР</t>
  </si>
  <si>
    <t>Подношење захтева за издавање/измену грађевинске дозволе</t>
  </si>
  <si>
    <t>Подношење захтева за издавање/измену локацијских услова</t>
  </si>
  <si>
    <t>Подношење захтева за издавање/измену решења о одобрењу извођења радова (члан 145. Закона о планирању и изградњи)</t>
  </si>
  <si>
    <t>Креирање захтева за покретање прекршајног поступка - Регистратор</t>
  </si>
  <si>
    <t>Подношење захтева за издавање/измену привремене грађевинске дозволе</t>
  </si>
  <si>
    <t>ГРАД БЕОГРАД</t>
  </si>
  <si>
    <t>ГРАД НИШ</t>
  </si>
  <si>
    <t>Усаглашени захтеви</t>
  </si>
  <si>
    <t>Град</t>
  </si>
  <si>
    <t>Укупан број поднетих захтева</t>
  </si>
  <si>
    <t>Број поднетих оригиналних захтева</t>
  </si>
  <si>
    <t>Број решених захтева</t>
  </si>
  <si>
    <t>Учешће решених захтева</t>
  </si>
  <si>
    <t>Број позитивно решених захтева</t>
  </si>
  <si>
    <t>Учешће позитивно решених захтева</t>
  </si>
  <si>
    <t>Број негативно решених захтева</t>
  </si>
  <si>
    <t>Учешће негативно решених захтева</t>
  </si>
  <si>
    <t>Број обустављених захтева</t>
  </si>
  <si>
    <t xml:space="preserve">Учешће захтева чија је обрада у току </t>
  </si>
  <si>
    <t>Број поднетих усаглашених захтева</t>
  </si>
  <si>
    <t xml:space="preserve">Учешће захтева који су усаглашени </t>
  </si>
  <si>
    <t>Просечни проценат успешности</t>
  </si>
  <si>
    <t>Сумарно</t>
  </si>
  <si>
    <r>
      <t xml:space="preserve">                                 У наставку је приказана статистика издавања дозвола за период од 01.01.2016. до 01.01.2018. године.                                                                                                                                                                               Рангирање градова вршили смо према </t>
    </r>
    <r>
      <rPr>
        <b/>
        <sz val="11"/>
        <color theme="1"/>
        <rFont val="Calibri"/>
        <family val="2"/>
        <scheme val="minor"/>
      </rPr>
      <t>просечном проценту успешности</t>
    </r>
    <r>
      <rPr>
        <sz val="11"/>
        <color theme="1"/>
        <rFont val="Calibri"/>
        <family val="2"/>
        <scheme val="minor"/>
      </rPr>
      <t xml:space="preserve"> који укључује податке о проценту укупно решених захтева и проценту позитивно решених захтева. Укупан број захтева подразумева укупан број "оригиналних" захтева увећан за број поднетих усаглашених захтева. Међутим, </t>
    </r>
    <r>
      <rPr>
        <b/>
        <u/>
        <sz val="11"/>
        <color theme="1"/>
        <rFont val="Calibri"/>
        <family val="2"/>
        <scheme val="minor"/>
      </rPr>
      <t>статистика посматра усаглашени захтев као наставак обраде оригиналног предмета</t>
    </r>
    <r>
      <rPr>
        <sz val="11"/>
        <color theme="1"/>
        <rFont val="Calibri"/>
        <family val="2"/>
        <scheme val="minor"/>
      </rPr>
      <t>, те се за даљи обрачун користи поље "Укупан број поднетих оригиналних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Графички приказана методологије израде статистике налази се на страни "Методологија".</t>
    </r>
  </si>
  <si>
    <t>1=2+11</t>
  </si>
  <si>
    <t>4=3:2</t>
  </si>
  <si>
    <t>5</t>
  </si>
  <si>
    <t>6=5:3</t>
  </si>
  <si>
    <t>7</t>
  </si>
  <si>
    <t>8=7:3</t>
  </si>
  <si>
    <t>9</t>
  </si>
  <si>
    <t>10=(2-3-9):2</t>
  </si>
  <si>
    <t>11</t>
  </si>
  <si>
    <t>12=11:2</t>
  </si>
  <si>
    <r>
      <t>13=(4+6)</t>
    </r>
    <r>
      <rPr>
        <b/>
        <vertAlign val="superscript"/>
        <sz val="8"/>
        <color theme="0"/>
        <rFont val="Calibri"/>
        <family val="2"/>
        <scheme val="minor"/>
      </rPr>
      <t>0.5</t>
    </r>
  </si>
  <si>
    <t>Решени захтеви</t>
  </si>
  <si>
    <t>Обустављени захтеви</t>
  </si>
  <si>
    <t>Обрада захтева у току</t>
  </si>
  <si>
    <t>Позитивно решени захтеви</t>
  </si>
  <si>
    <t>Негативно решени захтеви</t>
  </si>
  <si>
    <t>Број оригиналних захтева без усаглашавања</t>
  </si>
  <si>
    <t>Број захтева који су усаглашени</t>
  </si>
  <si>
    <t>Надлежни орган</t>
  </si>
  <si>
    <t>Број поднетих захтева</t>
  </si>
  <si>
    <t>Надлежни орган - усаглашени захтеви</t>
  </si>
  <si>
    <t>Број решених усаглашених захтева</t>
  </si>
  <si>
    <t>Број позитивно решених усаглашених захтева</t>
  </si>
  <si>
    <t>Број негативно решених усаглашених захтева</t>
  </si>
  <si>
    <t>Број обустављених усаглашених захтева</t>
  </si>
  <si>
    <t xml:space="preserve"> % решених захтева</t>
  </si>
  <si>
    <t xml:space="preserve"> % позитивно решених захтева</t>
  </si>
  <si>
    <t xml:space="preserve"> % негативно решених захтева</t>
  </si>
  <si>
    <t xml:space="preserve"> % захтева чија је обрада у току</t>
  </si>
  <si>
    <t xml:space="preserve"> Просечни проценат успешности</t>
  </si>
  <si>
    <r>
      <t xml:space="preserve">У наставку је приказана статистика издавања дозвола за период од 01.01.2016. до 01.01.2018. године.                                                                                                                                                                       Појединачна статистика представљена је по градовима, а унутар градова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</si>
  <si>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Обележавање свих надлежних органа</t>
  </si>
  <si>
    <t>Како бисте лакше дошли до потребних података, можете филтрирати надлежни орган који Вам је потребан кликом на жељени град на датом списку надлежних градова</t>
  </si>
  <si>
    <t xml:space="preserve">Сумарно  </t>
  </si>
  <si>
    <r>
      <t xml:space="preserve">У наставку је приказана статистика издавања дозвола за период од 01.01.2016. до 01.01.2018. године.                                                                                                                                                                       Појединачна статистика представљена је по општинама, а унутар општина по типу поднетих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t>
    </r>
    <r>
      <rPr>
        <i/>
        <sz val="12"/>
        <color theme="1"/>
        <rFont val="Calibri"/>
        <family val="2"/>
        <scheme val="minor"/>
      </rPr>
      <t>Усаглашени захтев посматран је као наставак обраде њему повезаног предмета, а не као подношење новог захтева</t>
    </r>
    <r>
      <rPr>
        <sz val="12"/>
        <color theme="1"/>
        <rFont val="Calibri"/>
        <family val="2"/>
        <scheme val="minor"/>
      </rPr>
      <t>.</t>
    </r>
  </si>
  <si>
    <t>Како бисте лакше дошли до потребних података, можете филтрирати надлежни орган који Вам је потребан кликом на жељену локалну самоуправу на датом списку надлежних ЛС</t>
  </si>
  <si>
    <r>
      <t>13=(4+6)</t>
    </r>
    <r>
      <rPr>
        <b/>
        <vertAlign val="superscript"/>
        <sz val="11"/>
        <color theme="0"/>
        <rFont val="Calibri"/>
        <family val="2"/>
        <scheme val="minor"/>
      </rPr>
      <t>0.5</t>
    </r>
  </si>
  <si>
    <t>Општина са испод 500 поднетих оригиналних захтева</t>
  </si>
  <si>
    <t>Општина са преко 500 поднетих оригиналних захтева</t>
  </si>
  <si>
    <r>
      <t xml:space="preserve">                                 У наставку је приказана статистика издавања дозвола за период од 01.01.2016. до 01.01.2018. године.                                                                                                                                                                               Рангирање општина вршили смо према просечном проценту успешности који укључује податке о проценту укупно решених захтева и проценту позитивно решених захтева. Укупан број захтева подразумева укупан број "оригиналних" захтева увећан за број поднетих усаглашених захтева. Међутим, </t>
    </r>
    <r>
      <rPr>
        <b/>
        <sz val="11"/>
        <color theme="1"/>
        <rFont val="Calibri"/>
        <family val="2"/>
        <scheme val="minor"/>
      </rPr>
      <t>статистика посматра усаглашени захтев као наставак обраде оригиналног предмета</t>
    </r>
    <r>
      <rPr>
        <sz val="11"/>
        <color theme="1"/>
        <rFont val="Calibri"/>
        <family val="2"/>
        <scheme val="minor"/>
      </rPr>
      <t>, те се за даљи обрачун користи поље "Укупан број поднетих оригиналних захтева. Број позитивно решених захтева подразумева све захтеве којима су издати услови/дозвола (у почетном захтеву, или након усаглашавања). Број негативно решених захтева обухвата оне захтеве где је донето решење о одбијању (у почетном захтеву или након усаглашавања)  Графички приказана методологије израде статистике налази се на страни "Методологија".</t>
    </r>
  </si>
  <si>
    <r>
      <t xml:space="preserve">Методологија: Третирање усаглашеног захтева као наставка обраде оригиналног захтева:                                                 </t>
    </r>
    <r>
      <rPr>
        <sz val="11"/>
        <color theme="1"/>
        <rFont val="Calibri"/>
        <family val="2"/>
        <scheme val="minor"/>
      </rPr>
      <t xml:space="preserve">Претпоставимо да надлежни орган има укупно 15 поднетих захтева - од чега су 10 оригиналних, а 5 усаглашених захтева. Од 10 оригиналних захтева 5 захтева је позитивно решено, 5 захтева је негативно решено. Од 5 негативно решених оригиналних захтева, свих 5 је усаглашено - односно имамо 5 поднетих усаглашених захтева. Од 5 поднетих усаглашених захтева 4 је позитивно решено, док је само један захтев негативно решен.                                                                                                                                                                                        Дакле, заправо смо имали 10 "предмета" од чега је укупно 9 позитивно решено (5 без усаглашавања и 4 кроз усаглашавање) и само један предмет је негативно решен.                                                                                                      Закључак: Учешће позитивно решених захтева је 9/10=90%, док је учешће негативно решених захтева 1/10=10%. </t>
    </r>
  </si>
  <si>
    <t xml:space="preserve">У овом случају горе приказану шему можемо приказати и на следећи начин: </t>
  </si>
  <si>
    <r>
      <t xml:space="preserve">Табела 1.1. Број захтева по типу захтева </t>
    </r>
    <r>
      <rPr>
        <b/>
        <sz val="11"/>
        <color theme="1"/>
        <rFont val="Calibri"/>
        <family val="2"/>
        <scheme val="minor"/>
      </rPr>
      <t>узимајући</t>
    </r>
    <r>
      <rPr>
        <sz val="11"/>
        <color theme="1"/>
        <rFont val="Calibri"/>
        <family val="2"/>
        <scheme val="minor"/>
      </rPr>
      <t xml:space="preserve"> у обзир усаглашене захтеве као наставак првобитно поднетих захтева</t>
    </r>
  </si>
  <si>
    <t>Тип првобитног захтева</t>
  </si>
  <si>
    <t>Број решених првобитних захтева</t>
  </si>
  <si>
    <t>Број позитивно решених првобитних захтева</t>
  </si>
  <si>
    <t>Број негативно решених првобитних захтева</t>
  </si>
  <si>
    <t>Број обустављених првобитних захтева</t>
  </si>
  <si>
    <t>Табела 1.2. Број усаглашених захтева по типу захтева</t>
  </si>
  <si>
    <t>Тип захтева</t>
  </si>
  <si>
    <t>Broj pozitivno rešenih zahteva</t>
  </si>
  <si>
    <t>Broj negativno rešenih zahteva</t>
  </si>
  <si>
    <t>Broj podnetih zahteva</t>
  </si>
  <si>
    <t>Ukupno rešeni zahtevi</t>
  </si>
  <si>
    <t>Obustavljeni zahtevi</t>
  </si>
  <si>
    <t>Obrada zahteva u toku</t>
  </si>
  <si>
    <t>Broj predmeta bez usaglašavanja</t>
  </si>
  <si>
    <t>Broj predmeta sa usaglašavanjem</t>
  </si>
  <si>
    <t>Графички приказ</t>
  </si>
  <si>
    <t>Статистика издавања дозвола за градњу у периоду од 01.01.2016. до 01.01.2018.</t>
  </si>
  <si>
    <t xml:space="preserve"> % позитивно решених</t>
  </si>
  <si>
    <t xml:space="preserve">  % негативно решених захтева</t>
  </si>
  <si>
    <t xml:space="preserve"> Просечан проценат успешности</t>
  </si>
  <si>
    <t>Надлежни органи - усаглашени захтеви</t>
  </si>
  <si>
    <t>Број решених усаглашених захетва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</si>
</sst>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u/>
      <sz val="11"/>
      <color theme="1"/>
      <name val="Calibri"/>
      <family val="2"/>
      <scheme val="minor"/>
    </font>
    <font>
      <b/>
      <sz val="8"/>
      <color theme="0"/>
      <name val="Calibri"/>
      <family val="2"/>
      <scheme val="minor"/>
    </font>
    <font>
      <b/>
      <vertAlign val="superscript"/>
      <sz val="8"/>
      <color theme="0"/>
      <name val="Calibri"/>
      <family val="2"/>
      <scheme val="minor"/>
    </font>
    <font>
      <sz val="12"/>
      <color theme="1"/>
      <name val="Calibri"/>
      <family val="2"/>
      <scheme val="minor"/>
    </font>
    <font>
      <i/>
      <sz val="12"/>
      <color theme="1"/>
      <name val="Calibri"/>
      <family val="2"/>
      <scheme val="minor"/>
    </font>
    <font>
      <b/>
      <vertAlign val="superscript"/>
      <sz val="11"/>
      <color theme="0"/>
      <name val="Calibri"/>
      <family val="2"/>
      <scheme val="minor"/>
    </font>
    <font>
      <sz val="11"/>
      <name val="Calibri"/>
      <family val="2"/>
      <scheme val="minor"/>
    </font>
    <font>
      <sz val="12"/>
      <name val="Calibri"/>
      <family val="2"/>
      <scheme val="minor"/>
    </font>
    <font>
      <b/>
      <sz val="15"/>
      <name val="Calibri"/>
      <family val="2"/>
      <scheme val="minor"/>
    </font>
    <font>
      <sz val="15"/>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39997558519241921"/>
        <bgColor theme="4" tint="0.79998168889431442"/>
      </patternFill>
    </fill>
    <fill>
      <patternFill patternType="solid">
        <fgColor theme="8" tint="0.39997558519241921"/>
        <bgColor theme="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0" fillId="2" borderId="0" xfId="0" applyFill="1"/>
    <xf numFmtId="0" fontId="0" fillId="3" borderId="0" xfId="0" applyFill="1"/>
    <xf numFmtId="0" fontId="0" fillId="4" borderId="0" xfId="0" applyFill="1"/>
    <xf numFmtId="0" fontId="0" fillId="0" borderId="0" xfId="0" applyFill="1"/>
    <xf numFmtId="0" fontId="0" fillId="5" borderId="0" xfId="0" applyFill="1"/>
    <xf numFmtId="0" fontId="0" fillId="0" borderId="0" xfId="0" applyAlignment="1">
      <alignment horizontal="center" vertical="center"/>
    </xf>
    <xf numFmtId="9" fontId="0" fillId="0" borderId="0" xfId="1" applyFont="1" applyAlignment="1">
      <alignment horizontal="center" vertical="center"/>
    </xf>
    <xf numFmtId="0" fontId="2" fillId="7" borderId="1" xfId="0" applyFont="1" applyFill="1" applyBorder="1" applyAlignment="1">
      <alignment horizontal="center" vertical="center" wrapText="1"/>
    </xf>
    <xf numFmtId="9" fontId="2" fillId="7" borderId="1" xfId="1" applyFont="1" applyFill="1" applyBorder="1" applyAlignment="1">
      <alignment horizontal="center" vertical="center" wrapText="1"/>
    </xf>
    <xf numFmtId="0" fontId="0" fillId="6" borderId="1" xfId="0" applyFill="1" applyBorder="1" applyAlignment="1">
      <alignment horizontal="center" vertical="center"/>
    </xf>
    <xf numFmtId="0" fontId="0" fillId="0" borderId="1" xfId="0" applyFill="1" applyBorder="1" applyAlignment="1">
      <alignment horizontal="center" vertical="center"/>
    </xf>
    <xf numFmtId="9" fontId="0" fillId="0" borderId="1" xfId="1" applyFont="1" applyFill="1" applyBorder="1" applyAlignment="1">
      <alignment horizontal="center" vertical="center"/>
    </xf>
    <xf numFmtId="164" fontId="0" fillId="0" borderId="1" xfId="1" applyNumberFormat="1" applyFont="1" applyFill="1" applyBorder="1" applyAlignment="1">
      <alignment horizontal="center" vertical="center"/>
    </xf>
    <xf numFmtId="0" fontId="5" fillId="7" borderId="1" xfId="0" applyFont="1" applyFill="1" applyBorder="1" applyAlignment="1">
      <alignment horizontal="center" vertical="center" wrapText="1"/>
    </xf>
    <xf numFmtId="9" fontId="5" fillId="7" borderId="1" xfId="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Font="1" applyBorder="1" applyAlignment="1">
      <alignment horizontal="center" vertical="center"/>
    </xf>
    <xf numFmtId="9" fontId="3" fillId="0" borderId="1" xfId="1" applyFont="1" applyBorder="1" applyAlignment="1">
      <alignment horizontal="center" vertical="center"/>
    </xf>
    <xf numFmtId="0" fontId="0" fillId="0" borderId="0" xfId="0" applyAlignment="1">
      <alignment horizontal="left"/>
    </xf>
    <xf numFmtId="0" fontId="0" fillId="0" borderId="0" xfId="0" pivotButton="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NumberFormat="1" applyAlignment="1">
      <alignment horizontal="center"/>
    </xf>
    <xf numFmtId="9" fontId="0" fillId="0" borderId="0" xfId="1" applyFont="1" applyAlignment="1">
      <alignment horizontal="center"/>
    </xf>
    <xf numFmtId="0" fontId="2" fillId="7" borderId="1" xfId="0" applyFont="1" applyFill="1" applyBorder="1"/>
    <xf numFmtId="0" fontId="2" fillId="7" borderId="1" xfId="0" applyFont="1" applyFill="1" applyBorder="1" applyAlignment="1">
      <alignment horizontal="center"/>
    </xf>
    <xf numFmtId="9" fontId="2" fillId="7" borderId="1" xfId="1" applyFont="1" applyFill="1" applyBorder="1" applyAlignment="1">
      <alignment horizontal="center"/>
    </xf>
    <xf numFmtId="10" fontId="2" fillId="7" borderId="1" xfId="1" applyNumberFormat="1" applyFont="1" applyFill="1" applyBorder="1" applyAlignment="1">
      <alignment horizontal="center"/>
    </xf>
    <xf numFmtId="9" fontId="0" fillId="0" borderId="0" xfId="0" applyNumberFormat="1" applyAlignment="1">
      <alignment horizontal="center"/>
    </xf>
    <xf numFmtId="0" fontId="0" fillId="0" borderId="1" xfId="0" applyBorder="1"/>
    <xf numFmtId="9" fontId="0" fillId="6" borderId="1" xfId="1" applyFont="1" applyFill="1" applyBorder="1" applyAlignment="1">
      <alignment horizontal="center" vertical="center"/>
    </xf>
    <xf numFmtId="49" fontId="2" fillId="7" borderId="1" xfId="0" applyNumberFormat="1" applyFont="1" applyFill="1" applyBorder="1" applyAlignment="1">
      <alignment horizontal="center" vertical="center" wrapText="1"/>
    </xf>
    <xf numFmtId="0" fontId="0" fillId="0" borderId="1" xfId="0" applyBorder="1" applyAlignment="1">
      <alignment horizontal="center"/>
    </xf>
    <xf numFmtId="9" fontId="0" fillId="0" borderId="1" xfId="1" applyFont="1" applyBorder="1" applyAlignment="1">
      <alignment horizontal="center"/>
    </xf>
    <xf numFmtId="10" fontId="0" fillId="0" borderId="1" xfId="1" applyNumberFormat="1" applyFont="1" applyBorder="1" applyAlignment="1">
      <alignment horizontal="center"/>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10" fontId="0" fillId="0" borderId="0" xfId="1" applyNumberFormat="1" applyFont="1" applyBorder="1" applyAlignment="1">
      <alignment horizontal="center"/>
    </xf>
    <xf numFmtId="0" fontId="0" fillId="8" borderId="0" xfId="0" applyFill="1"/>
    <xf numFmtId="0" fontId="11" fillId="0" borderId="0" xfId="0" applyFont="1" applyFill="1" applyBorder="1" applyAlignment="1">
      <alignment horizontal="center" vertical="center"/>
    </xf>
    <xf numFmtId="0" fontId="2" fillId="9" borderId="10"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10" borderId="12" xfId="0" applyFont="1" applyFill="1" applyBorder="1" applyAlignment="1">
      <alignment horizontal="center" vertical="center"/>
    </xf>
    <xf numFmtId="0" fontId="2" fillId="9" borderId="13" xfId="0" applyFont="1" applyFill="1" applyBorder="1" applyAlignment="1">
      <alignment horizontal="center" vertical="center"/>
    </xf>
    <xf numFmtId="0" fontId="2" fillId="11" borderId="10" xfId="0" applyFont="1" applyFill="1" applyBorder="1" applyAlignment="1">
      <alignment horizontal="center" vertical="center" wrapText="1"/>
    </xf>
    <xf numFmtId="0" fontId="2" fillId="11" borderId="11" xfId="0" applyFont="1" applyFill="1" applyBorder="1" applyAlignment="1">
      <alignment horizontal="center" vertical="center" wrapText="1"/>
    </xf>
    <xf numFmtId="0" fontId="2" fillId="9" borderId="14" xfId="0" applyFont="1" applyFill="1" applyBorder="1" applyAlignment="1">
      <alignment horizontal="center" vertical="center"/>
    </xf>
    <xf numFmtId="0" fontId="0" fillId="0" borderId="0" xfId="0" applyFill="1" applyAlignment="1">
      <alignment horizontal="center" vertical="center"/>
    </xf>
    <xf numFmtId="164" fontId="0" fillId="0" borderId="0" xfId="1" applyNumberFormat="1" applyFont="1" applyAlignment="1">
      <alignment horizontal="center" vertical="center"/>
    </xf>
    <xf numFmtId="9" fontId="0" fillId="0" borderId="0" xfId="0" applyNumberFormat="1" applyAlignment="1">
      <alignment horizontal="center" vertical="center"/>
    </xf>
    <xf numFmtId="0" fontId="2" fillId="0" borderId="0" xfId="0" applyFont="1" applyFill="1" applyAlignment="1">
      <alignment horizontal="center" vertical="center" wrapText="1"/>
    </xf>
    <xf numFmtId="0" fontId="10" fillId="8" borderId="0" xfId="0" applyFont="1" applyFill="1" applyBorder="1" applyAlignment="1">
      <alignment horizontal="center"/>
    </xf>
    <xf numFmtId="0" fontId="0" fillId="8" borderId="0" xfId="0" applyFill="1" applyBorder="1" applyAlignment="1">
      <alignment horizontal="center"/>
    </xf>
    <xf numFmtId="0" fontId="3" fillId="8" borderId="1" xfId="0" applyFont="1" applyFill="1" applyBorder="1" applyAlignment="1">
      <alignment horizontal="center" vertical="top" wrapText="1"/>
    </xf>
    <xf numFmtId="0" fontId="0" fillId="8" borderId="1" xfId="0" applyFill="1" applyBorder="1" applyAlignment="1">
      <alignment horizontal="center"/>
    </xf>
    <xf numFmtId="0" fontId="12"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 xfId="0" applyFont="1" applyFill="1" applyBorder="1" applyAlignment="1">
      <alignment horizontal="center" vertical="center"/>
    </xf>
    <xf numFmtId="0" fontId="11"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7" fillId="6" borderId="1" xfId="0" applyFont="1" applyFill="1" applyBorder="1" applyAlignment="1">
      <alignment horizontal="center" vertical="center" wrapText="1"/>
    </xf>
    <xf numFmtId="9" fontId="0" fillId="6" borderId="2" xfId="1" applyFont="1" applyFill="1" applyBorder="1" applyAlignment="1">
      <alignment horizontal="center" vertical="center" wrapText="1"/>
    </xf>
    <xf numFmtId="9" fontId="0" fillId="6" borderId="3" xfId="1" applyFont="1" applyFill="1" applyBorder="1" applyAlignment="1">
      <alignment horizontal="center" vertical="center" wrapText="1"/>
    </xf>
    <xf numFmtId="9" fontId="0" fillId="6" borderId="4" xfId="1" applyFont="1" applyFill="1" applyBorder="1" applyAlignment="1">
      <alignment horizontal="center" vertical="center" wrapText="1"/>
    </xf>
    <xf numFmtId="9" fontId="0" fillId="6" borderId="5" xfId="1" applyFont="1" applyFill="1" applyBorder="1" applyAlignment="1">
      <alignment horizontal="center" vertical="center" wrapText="1"/>
    </xf>
    <xf numFmtId="9" fontId="0" fillId="6" borderId="0" xfId="1" applyFont="1" applyFill="1" applyBorder="1" applyAlignment="1">
      <alignment horizontal="center" vertical="center" wrapText="1"/>
    </xf>
    <xf numFmtId="9" fontId="0" fillId="6" borderId="6" xfId="1" applyFont="1" applyFill="1" applyBorder="1" applyAlignment="1">
      <alignment horizontal="center" vertical="center" wrapText="1"/>
    </xf>
    <xf numFmtId="9" fontId="0" fillId="6" borderId="7" xfId="1" applyFont="1" applyFill="1" applyBorder="1" applyAlignment="1">
      <alignment horizontal="center" vertical="center" wrapText="1"/>
    </xf>
    <xf numFmtId="9" fontId="0" fillId="6" borderId="8" xfId="1" applyFont="1" applyFill="1" applyBorder="1" applyAlignment="1">
      <alignment horizontal="center" vertical="center" wrapText="1"/>
    </xf>
    <xf numFmtId="9" fontId="0" fillId="6" borderId="9" xfId="1"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9" xfId="0" applyFill="1" applyBorder="1" applyAlignment="1">
      <alignment horizontal="center" vertical="center" wrapText="1"/>
    </xf>
  </cellXfs>
  <cellStyles count="2">
    <cellStyle name="Normal" xfId="0" builtinId="0"/>
    <cellStyle name="Percent" xfId="1" builtinId="5"/>
  </cellStyles>
  <dxfs count="40">
    <dxf>
      <fill>
        <patternFill patternType="solid">
          <fgColor rgb="FFF8CBAD"/>
          <bgColor rgb="FF000000"/>
        </patternFill>
      </fill>
    </dxf>
    <dxf>
      <alignment horizontal="center" readingOrder="0"/>
    </dxf>
    <dxf>
      <alignment horizontal="center" readingOrder="0"/>
    </dxf>
    <dxf>
      <alignment wrapText="1" readingOrder="0"/>
    </dxf>
    <dxf>
      <alignment wrapText="1" readingOrder="0"/>
    </dxf>
    <dxf>
      <alignment horizontal="center" readingOrder="0"/>
    </dxf>
    <dxf>
      <alignment vertical="center" readingOrder="0"/>
    </dxf>
    <dxf>
      <alignment vertical="center" readingOrder="0"/>
    </dxf>
    <dxf>
      <numFmt numFmtId="13" formatCode="0%"/>
    </dxf>
    <dxf>
      <numFmt numFmtId="13" formatCode="0%"/>
    </dxf>
    <dxf>
      <numFmt numFmtId="13" formatCode="0%"/>
    </dxf>
    <dxf>
      <numFmt numFmtId="13" formatCode="0%"/>
    </dxf>
    <dxf>
      <alignment vertical="center"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horizontal="center" readingOrder="0"/>
    </dxf>
    <dxf>
      <alignment wrapText="1" readingOrder="0"/>
    </dxf>
    <dxf>
      <alignment wrapText="1" readingOrder="0"/>
    </dxf>
    <dxf>
      <alignment horizontal="center" readingOrder="0"/>
    </dxf>
    <dxf>
      <alignment horizontal="center" readingOrder="0"/>
    </dxf>
    <dxf>
      <alignment vertical="center" readingOrder="0"/>
    </dxf>
    <dxf>
      <alignment vertical="center" readingOrder="0"/>
    </dxf>
    <dxf>
      <alignment horizontal="center" readingOrder="0"/>
    </dxf>
    <dxf>
      <alignment wrapText="1" readingOrder="0"/>
    </dxf>
    <dxf>
      <alignment wrapText="1" readingOrder="0"/>
    </dxf>
    <dxf>
      <numFmt numFmtId="13" formatCode="0%"/>
    </dxf>
    <dxf>
      <numFmt numFmtId="13" formatCode="0%"/>
    </dxf>
    <dxf>
      <numFmt numFmtId="13" formatCode="0%"/>
    </dxf>
    <dxf>
      <numFmt numFmtId="13" formatCode="0%"/>
    </dxf>
    <dxf>
      <alignment horizontal="center" readingOrder="0"/>
    </dxf>
    <dxf>
      <alignment vertical="center" readingOrder="0"/>
    </dxf>
    <dxf>
      <alignment wrapText="1" readingOrder="0"/>
    </dxf>
    <dxf>
      <alignment horizontal="center" readingOrder="0"/>
    </dxf>
    <dxf>
      <alignment horizontal="center" readingOrder="0"/>
    </dxf>
    <dxf>
      <alignment wrapText="1" readingOrder="0"/>
    </dxf>
    <dxf>
      <alignment vertic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pivotCacheDefinition" Target="pivotCache/pivotCacheDefinition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Позитивно/негативно решени захтеви</a:t>
            </a:r>
            <a:endParaRPr lang="en-US" sz="1500"/>
          </a:p>
        </c:rich>
      </c:tx>
      <c:layout>
        <c:manualLayout>
          <c:xMode val="edge"/>
          <c:yMode val="edge"/>
          <c:x val="0.17379019167070775"/>
          <c:y val="1.7164356538246342E-2"/>
        </c:manualLayout>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'Сумарни подаци'!$C$36:$D$36</c:f>
              <c:strCache>
                <c:ptCount val="2"/>
                <c:pt idx="0">
                  <c:v>Broj pozitivno rešenih zahteva</c:v>
                </c:pt>
                <c:pt idx="1">
                  <c:v>Broj negativno rešenih zahteva</c:v>
                </c:pt>
              </c:strCache>
            </c:strRef>
          </c:cat>
          <c:val>
            <c:numRef>
              <c:f>'Сумарни подаци'!$C$37:$D$37</c:f>
              <c:numCache>
                <c:formatCode>General</c:formatCode>
                <c:ptCount val="2"/>
                <c:pt idx="0">
                  <c:v>105152</c:v>
                </c:pt>
                <c:pt idx="1">
                  <c:v>19451</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решених захтева са и без усаглашавања</a:t>
            </a:r>
            <a:endParaRPr lang="en-US" sz="1500">
              <a:effectLst/>
            </a:endParaRPr>
          </a:p>
        </c:rich>
      </c:tx>
      <c:layout/>
      <c:overlay val="0"/>
    </c:title>
    <c:autoTitleDeleted val="0"/>
    <c:plotArea>
      <c:layout/>
      <c:barChart>
        <c:barDir val="col"/>
        <c:grouping val="stacked"/>
        <c:varyColors val="0"/>
        <c:ser>
          <c:idx val="0"/>
          <c:order val="0"/>
          <c:tx>
            <c:strRef>
              <c:f>'Општине - сумарни подаци'!$B$173</c:f>
              <c:strCache>
                <c:ptCount val="1"/>
                <c:pt idx="0">
                  <c:v>Број оригиналних захтева без усаглашавања</c:v>
                </c:pt>
              </c:strCache>
            </c:strRef>
          </c:tx>
          <c:invertIfNegative val="0"/>
          <c:dLbls>
            <c:showLegendKey val="0"/>
            <c:showVal val="1"/>
            <c:showCatName val="0"/>
            <c:showSerName val="0"/>
            <c:showPercent val="0"/>
            <c:showBubbleSize val="0"/>
            <c:showLeaderLines val="0"/>
          </c:dLbls>
          <c:val>
            <c:numRef>
              <c:f>'Општине - сумарни подаци'!$C$173</c:f>
              <c:numCache>
                <c:formatCode>General</c:formatCode>
                <c:ptCount val="1"/>
                <c:pt idx="0">
                  <c:v>61945</c:v>
                </c:pt>
              </c:numCache>
            </c:numRef>
          </c:val>
        </c:ser>
        <c:ser>
          <c:idx val="1"/>
          <c:order val="1"/>
          <c:tx>
            <c:strRef>
              <c:f>'Општине - сумарни подаци'!$B$174</c:f>
              <c:strCache>
                <c:ptCount val="1"/>
                <c:pt idx="0">
                  <c:v>Број захтева који су усаглашени</c:v>
                </c:pt>
              </c:strCache>
            </c:strRef>
          </c:tx>
          <c:invertIfNegative val="0"/>
          <c:dLbls>
            <c:showLegendKey val="0"/>
            <c:showVal val="1"/>
            <c:showCatName val="0"/>
            <c:showSerName val="0"/>
            <c:showPercent val="0"/>
            <c:showBubbleSize val="0"/>
            <c:showLeaderLines val="0"/>
          </c:dLbls>
          <c:val>
            <c:numRef>
              <c:f>'Општине - сумарни подаци'!$C$174</c:f>
              <c:numCache>
                <c:formatCode>General</c:formatCode>
                <c:ptCount val="1"/>
                <c:pt idx="0">
                  <c:v>7829</c:v>
                </c:pt>
              </c:numCache>
            </c:numRef>
          </c:val>
        </c:ser>
        <c:dLbls>
          <c:showLegendKey val="0"/>
          <c:showVal val="0"/>
          <c:showCatName val="0"/>
          <c:showSerName val="0"/>
          <c:showPercent val="0"/>
          <c:showBubbleSize val="0"/>
        </c:dLbls>
        <c:gapWidth val="55"/>
        <c:overlap val="100"/>
        <c:axId val="207451648"/>
        <c:axId val="207453184"/>
      </c:barChart>
      <c:catAx>
        <c:axId val="207451648"/>
        <c:scaling>
          <c:orientation val="minMax"/>
        </c:scaling>
        <c:delete val="1"/>
        <c:axPos val="b"/>
        <c:majorTickMark val="none"/>
        <c:minorTickMark val="none"/>
        <c:tickLblPos val="nextTo"/>
        <c:crossAx val="207453184"/>
        <c:crosses val="autoZero"/>
        <c:auto val="1"/>
        <c:lblAlgn val="ctr"/>
        <c:lblOffset val="100"/>
        <c:noMultiLvlLbl val="0"/>
      </c:catAx>
      <c:valAx>
        <c:axId val="207453184"/>
        <c:scaling>
          <c:orientation val="minMax"/>
          <c:min val="38000"/>
        </c:scaling>
        <c:delete val="0"/>
        <c:axPos val="l"/>
        <c:numFmt formatCode="General" sourceLinked="1"/>
        <c:majorTickMark val="none"/>
        <c:minorTickMark val="none"/>
        <c:tickLblPos val="nextTo"/>
        <c:crossAx val="2074516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a:t>Тренутни</a:t>
            </a:r>
            <a:r>
              <a:rPr lang="sr-Cyrl-RS" baseline="0"/>
              <a:t> статус обраде захтева</a:t>
            </a:r>
            <a:endParaRPr lang="en-US"/>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1"/>
              </a:solidFill>
            </c:spPr>
          </c:dPt>
          <c:dLbls>
            <c:showLegendKey val="0"/>
            <c:showVal val="0"/>
            <c:showCatName val="0"/>
            <c:showSerName val="0"/>
            <c:showPercent val="1"/>
            <c:showBubbleSize val="0"/>
            <c:showLeaderLines val="1"/>
          </c:dLbls>
          <c:cat>
            <c:strRef>
              <c:f>'Сумарни подаци'!$D$41:$F$41</c:f>
              <c:strCache>
                <c:ptCount val="3"/>
                <c:pt idx="0">
                  <c:v>Ukupno rešeni zahtevi</c:v>
                </c:pt>
                <c:pt idx="1">
                  <c:v>Obustavljeni zahtevi</c:v>
                </c:pt>
                <c:pt idx="2">
                  <c:v>Obrada zahteva u toku</c:v>
                </c:pt>
              </c:strCache>
            </c:strRef>
          </c:cat>
          <c:val>
            <c:numRef>
              <c:f>'Сумарни подаци'!$D$42:$F$42</c:f>
              <c:numCache>
                <c:formatCode>General</c:formatCode>
                <c:ptCount val="3"/>
                <c:pt idx="0">
                  <c:v>124603</c:v>
                </c:pt>
                <c:pt idx="1">
                  <c:v>538</c:v>
                </c:pt>
                <c:pt idx="2">
                  <c:v>6398</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Однос броја</a:t>
            </a:r>
            <a:r>
              <a:rPr lang="sr-Cyrl-RS" sz="1500" baseline="0"/>
              <a:t> захтева решених са и без усаглашавања</a:t>
            </a:r>
            <a:endParaRPr lang="en-US" sz="1500"/>
          </a:p>
        </c:rich>
      </c:tx>
      <c:layout/>
      <c:overlay val="0"/>
    </c:title>
    <c:autoTitleDeleted val="0"/>
    <c:plotArea>
      <c:layout/>
      <c:barChart>
        <c:barDir val="col"/>
        <c:grouping val="stacked"/>
        <c:varyColors val="0"/>
        <c:ser>
          <c:idx val="0"/>
          <c:order val="0"/>
          <c:tx>
            <c:strRef>
              <c:f>'Сумарни подаци'!$C$46</c:f>
              <c:strCache>
                <c:ptCount val="1"/>
                <c:pt idx="0">
                  <c:v>Broj predmeta bez usaglašavanja</c:v>
                </c:pt>
              </c:strCache>
            </c:strRef>
          </c:tx>
          <c:invertIfNegative val="0"/>
          <c:dLbls>
            <c:showLegendKey val="0"/>
            <c:showVal val="1"/>
            <c:showCatName val="0"/>
            <c:showSerName val="0"/>
            <c:showPercent val="0"/>
            <c:showBubbleSize val="0"/>
            <c:showLeaderLines val="0"/>
          </c:dLbls>
          <c:val>
            <c:numRef>
              <c:f>'Сумарни подаци'!$D$46</c:f>
              <c:numCache>
                <c:formatCode>General</c:formatCode>
                <c:ptCount val="1"/>
                <c:pt idx="0">
                  <c:v>113634</c:v>
                </c:pt>
              </c:numCache>
            </c:numRef>
          </c:val>
        </c:ser>
        <c:ser>
          <c:idx val="1"/>
          <c:order val="1"/>
          <c:tx>
            <c:strRef>
              <c:f>'Сумарни подаци'!$C$47</c:f>
              <c:strCache>
                <c:ptCount val="1"/>
                <c:pt idx="0">
                  <c:v>Broj predmeta sa usaglašavanjem</c:v>
                </c:pt>
              </c:strCache>
            </c:strRef>
          </c:tx>
          <c:invertIfNegative val="0"/>
          <c:dLbls>
            <c:showLegendKey val="0"/>
            <c:showVal val="1"/>
            <c:showCatName val="0"/>
            <c:showSerName val="0"/>
            <c:showPercent val="0"/>
            <c:showBubbleSize val="0"/>
            <c:showLeaderLines val="0"/>
          </c:dLbls>
          <c:val>
            <c:numRef>
              <c:f>'Сумарни подаци'!$D$47</c:f>
              <c:numCache>
                <c:formatCode>General</c:formatCode>
                <c:ptCount val="1"/>
                <c:pt idx="0">
                  <c:v>17905</c:v>
                </c:pt>
              </c:numCache>
            </c:numRef>
          </c:val>
        </c:ser>
        <c:dLbls>
          <c:showLegendKey val="0"/>
          <c:showVal val="0"/>
          <c:showCatName val="0"/>
          <c:showSerName val="0"/>
          <c:showPercent val="0"/>
          <c:showBubbleSize val="0"/>
        </c:dLbls>
        <c:gapWidth val="55"/>
        <c:overlap val="100"/>
        <c:axId val="160085504"/>
        <c:axId val="160087040"/>
      </c:barChart>
      <c:catAx>
        <c:axId val="160085504"/>
        <c:scaling>
          <c:orientation val="minMax"/>
        </c:scaling>
        <c:delete val="1"/>
        <c:axPos val="b"/>
        <c:majorTickMark val="none"/>
        <c:minorTickMark val="none"/>
        <c:tickLblPos val="nextTo"/>
        <c:crossAx val="160087040"/>
        <c:crosses val="autoZero"/>
        <c:auto val="1"/>
        <c:lblAlgn val="ctr"/>
        <c:lblOffset val="100"/>
        <c:noMultiLvlLbl val="0"/>
      </c:catAx>
      <c:valAx>
        <c:axId val="160087040"/>
        <c:scaling>
          <c:orientation val="minMax"/>
          <c:min val="50000"/>
        </c:scaling>
        <c:delete val="0"/>
        <c:axPos val="l"/>
        <c:numFmt formatCode="General" sourceLinked="1"/>
        <c:majorTickMark val="none"/>
        <c:minorTickMark val="none"/>
        <c:tickLblPos val="nextTo"/>
        <c:crossAx val="1600855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a:t>Број поднетиг захтева</a:t>
            </a:r>
            <a:r>
              <a:rPr lang="sr-Cyrl-RS" sz="1500" baseline="0"/>
              <a:t> према типу захтева</a:t>
            </a:r>
            <a:endParaRPr lang="sr-Cyrl-RS" sz="1500"/>
          </a:p>
        </c:rich>
      </c:tx>
      <c:layout/>
      <c:overlay val="0"/>
    </c:title>
    <c:autoTitleDeleted val="0"/>
    <c:plotArea>
      <c:layout/>
      <c:barChart>
        <c:barDir val="bar"/>
        <c:grouping val="clustered"/>
        <c:varyColors val="0"/>
        <c:ser>
          <c:idx val="0"/>
          <c:order val="0"/>
          <c:tx>
            <c:strRef>
              <c:f>'Сумарни подаци'!$C$4</c:f>
              <c:strCache>
                <c:ptCount val="1"/>
                <c:pt idx="0">
                  <c:v>Број поднетих захтева</c:v>
                </c:pt>
              </c:strCache>
            </c:strRef>
          </c:tx>
          <c:invertIfNegative val="0"/>
          <c:cat>
            <c:strRef>
              <c:f>'Сумарни подаци'!$B$5:$B$21</c:f>
              <c:strCache>
                <c:ptCount val="17"/>
                <c:pt idx="0">
                  <c:v>Подношење захтева за издавање/измену решења о одобрењу извођења радова (члан 145. Закона о планирању и изградњи)</c:v>
                </c:pt>
                <c:pt idx="1">
                  <c:v>Подношење захтева за издавање/измену локацијских услова</c:v>
                </c:pt>
                <c:pt idx="2">
                  <c:v>Подношење пријаве радова</c:v>
                </c:pt>
                <c:pt idx="3">
                  <c:v>Подношење захтева за издавање/измену грађевинске дозволе</c:v>
                </c:pt>
                <c:pt idx="4">
                  <c:v>Подношење захтева за остале поступке (одустанак, клаузула правноснажности, исправка техничке грешке и сл.)</c:v>
                </c:pt>
                <c:pt idx="5">
                  <c:v>Подношење захтева за издавање употребне дозволе</c:v>
                </c:pt>
                <c:pt idx="6">
                  <c:v>Подношење пријаве завршетка израде темеља</c:v>
                </c:pt>
                <c:pt idx="7">
                  <c:v>Упис права својине и издавање решења о кућном броју</c:v>
                </c:pt>
                <c:pt idx="8">
                  <c:v>Подношење захтева за прикључење на комуналну и другу инфраструктуру</c:v>
                </c:pt>
                <c:pt idx="9">
                  <c:v>Подношење пријаве завршетка објекта у конструктивном смислу</c:v>
                </c:pt>
                <c:pt idx="10">
                  <c:v>Достављање техничке документације у погледу мера заштите од пожара</c:v>
                </c:pt>
                <c:pt idx="11">
                  <c:v>Подношење жалбе/приговора</c:v>
                </c:pt>
                <c:pt idx="12">
                  <c:v>Подношење захтева за издавање/измену привремене грађевинске дозволе</c:v>
                </c:pt>
                <c:pt idx="13">
                  <c:v>Контрола активности на предмету - Регистратор</c:v>
                </c:pt>
                <c:pt idx="14">
                  <c:v>Достављања пројекта за извођење за објекте из члана 133. за које су предвиђене мере заштите културних добара</c:v>
                </c:pt>
                <c:pt idx="15">
                  <c:v>Замена решења по жалби/приговору</c:v>
                </c:pt>
                <c:pt idx="16">
                  <c:v>Креирање захтева за покретање прекршајног поступка - Регистратор</c:v>
                </c:pt>
              </c:strCache>
            </c:strRef>
          </c:cat>
          <c:val>
            <c:numRef>
              <c:f>'Сумарни подаци'!$C$5:$C$21</c:f>
              <c:numCache>
                <c:formatCode>General</c:formatCode>
                <c:ptCount val="17"/>
                <c:pt idx="0">
                  <c:v>25579</c:v>
                </c:pt>
                <c:pt idx="1">
                  <c:v>24274</c:v>
                </c:pt>
                <c:pt idx="2">
                  <c:v>21411</c:v>
                </c:pt>
                <c:pt idx="3">
                  <c:v>15442</c:v>
                </c:pt>
                <c:pt idx="4">
                  <c:v>11540</c:v>
                </c:pt>
                <c:pt idx="5">
                  <c:v>9863</c:v>
                </c:pt>
                <c:pt idx="6">
                  <c:v>6745</c:v>
                </c:pt>
                <c:pt idx="7">
                  <c:v>6677</c:v>
                </c:pt>
                <c:pt idx="8">
                  <c:v>3726</c:v>
                </c:pt>
                <c:pt idx="9">
                  <c:v>3544</c:v>
                </c:pt>
                <c:pt idx="10">
                  <c:v>2080</c:v>
                </c:pt>
                <c:pt idx="11">
                  <c:v>457</c:v>
                </c:pt>
                <c:pt idx="12">
                  <c:v>122</c:v>
                </c:pt>
                <c:pt idx="13">
                  <c:v>36</c:v>
                </c:pt>
                <c:pt idx="14">
                  <c:v>23</c:v>
                </c:pt>
                <c:pt idx="15">
                  <c:v>17</c:v>
                </c:pt>
                <c:pt idx="16">
                  <c:v>3</c:v>
                </c:pt>
              </c:numCache>
            </c:numRef>
          </c:val>
        </c:ser>
        <c:dLbls>
          <c:showLegendKey val="0"/>
          <c:showVal val="0"/>
          <c:showCatName val="0"/>
          <c:showSerName val="0"/>
          <c:showPercent val="0"/>
          <c:showBubbleSize val="0"/>
        </c:dLbls>
        <c:gapWidth val="150"/>
        <c:axId val="160607232"/>
        <c:axId val="160609024"/>
      </c:barChart>
      <c:catAx>
        <c:axId val="160607232"/>
        <c:scaling>
          <c:orientation val="minMax"/>
        </c:scaling>
        <c:delete val="0"/>
        <c:axPos val="l"/>
        <c:majorTickMark val="out"/>
        <c:minorTickMark val="none"/>
        <c:tickLblPos val="nextTo"/>
        <c:crossAx val="160609024"/>
        <c:crosses val="autoZero"/>
        <c:auto val="1"/>
        <c:lblAlgn val="ctr"/>
        <c:lblOffset val="100"/>
        <c:noMultiLvlLbl val="0"/>
      </c:catAx>
      <c:valAx>
        <c:axId val="160609024"/>
        <c:scaling>
          <c:orientation val="minMax"/>
        </c:scaling>
        <c:delete val="0"/>
        <c:axPos val="b"/>
        <c:numFmt formatCode="General" sourceLinked="1"/>
        <c:majorTickMark val="out"/>
        <c:minorTickMark val="none"/>
        <c:tickLblPos val="nextTo"/>
        <c:crossAx val="16060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a:ln>
                <a:solidFill>
                  <a:schemeClr val="accent6"/>
                </a:solidFill>
              </a:ln>
            </c:spPr>
          </c:dPt>
          <c:dPt>
            <c:idx val="2"/>
            <c:bubble3D val="0"/>
            <c:spPr>
              <a:solidFill>
                <a:schemeClr val="accent5"/>
              </a:solidFill>
            </c:spPr>
          </c:dPt>
          <c:dLbls>
            <c:showLegendKey val="0"/>
            <c:showVal val="0"/>
            <c:showCatName val="0"/>
            <c:showSerName val="0"/>
            <c:showPercent val="1"/>
            <c:showBubbleSize val="0"/>
            <c:showLeaderLines val="1"/>
          </c:dLbls>
          <c:cat>
            <c:strRef>
              <c:f>'Градови - сумарни подаци'!$B$53:$B$55</c:f>
              <c:strCache>
                <c:ptCount val="3"/>
                <c:pt idx="0">
                  <c:v>Решени захтеви</c:v>
                </c:pt>
                <c:pt idx="1">
                  <c:v>Обустављени захтеви</c:v>
                </c:pt>
                <c:pt idx="2">
                  <c:v>Обрада захтева у току</c:v>
                </c:pt>
              </c:strCache>
            </c:strRef>
          </c:cat>
          <c:val>
            <c:numRef>
              <c:f>'Градови - сумарни подаци'!$C$53:$C$55</c:f>
              <c:numCache>
                <c:formatCode>General</c:formatCode>
                <c:ptCount val="3"/>
                <c:pt idx="0">
                  <c:v>57885</c:v>
                </c:pt>
                <c:pt idx="1">
                  <c:v>254</c:v>
                </c:pt>
                <c:pt idx="2">
                  <c:v>3626</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'Градови - сумарни подаци'!$B$57:$B$58</c:f>
              <c:strCache>
                <c:ptCount val="2"/>
                <c:pt idx="0">
                  <c:v>Позитивно решени захтеви</c:v>
                </c:pt>
                <c:pt idx="1">
                  <c:v>Негативно решени захтеви</c:v>
                </c:pt>
              </c:strCache>
            </c:strRef>
          </c:cat>
          <c:val>
            <c:numRef>
              <c:f>'Градови - сумарни подаци'!$C$57:$C$58</c:f>
              <c:numCache>
                <c:formatCode>General</c:formatCode>
                <c:ptCount val="2"/>
                <c:pt idx="0">
                  <c:v>47683</c:v>
                </c:pt>
                <c:pt idx="1">
                  <c:v>10202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Однос броја решених захтева са и без усаглашавања</a:t>
            </a:r>
            <a:endParaRPr lang="en-US" sz="1500">
              <a:effectLst/>
            </a:endParaRPr>
          </a:p>
        </c:rich>
      </c:tx>
      <c:layout/>
      <c:overlay val="0"/>
    </c:title>
    <c:autoTitleDeleted val="0"/>
    <c:plotArea>
      <c:layout/>
      <c:barChart>
        <c:barDir val="col"/>
        <c:grouping val="stacked"/>
        <c:varyColors val="0"/>
        <c:ser>
          <c:idx val="0"/>
          <c:order val="0"/>
          <c:tx>
            <c:strRef>
              <c:f>'Градови - сумарни подаци'!$B$60</c:f>
              <c:strCache>
                <c:ptCount val="1"/>
                <c:pt idx="0">
                  <c:v>Број оригиналних захтева без усаглашавања</c:v>
                </c:pt>
              </c:strCache>
            </c:strRef>
          </c:tx>
          <c:invertIfNegative val="0"/>
          <c:dLbls>
            <c:showLegendKey val="0"/>
            <c:showVal val="1"/>
            <c:showCatName val="0"/>
            <c:showSerName val="0"/>
            <c:showPercent val="0"/>
            <c:showBubbleSize val="0"/>
            <c:showLeaderLines val="0"/>
          </c:dLbls>
          <c:val>
            <c:numRef>
              <c:f>'Градови - сумарни подаци'!$C$60</c:f>
              <c:numCache>
                <c:formatCode>General</c:formatCode>
                <c:ptCount val="1"/>
                <c:pt idx="0">
                  <c:v>51689</c:v>
                </c:pt>
              </c:numCache>
            </c:numRef>
          </c:val>
        </c:ser>
        <c:ser>
          <c:idx val="1"/>
          <c:order val="1"/>
          <c:tx>
            <c:strRef>
              <c:f>'Градови - сумарни подаци'!$B$61</c:f>
              <c:strCache>
                <c:ptCount val="1"/>
                <c:pt idx="0">
                  <c:v>Број захтева који су усаглашени</c:v>
                </c:pt>
              </c:strCache>
            </c:strRef>
          </c:tx>
          <c:invertIfNegative val="0"/>
          <c:dLbls>
            <c:showLegendKey val="0"/>
            <c:showVal val="1"/>
            <c:showCatName val="0"/>
            <c:showSerName val="0"/>
            <c:showPercent val="0"/>
            <c:showBubbleSize val="0"/>
            <c:showLeaderLines val="0"/>
          </c:dLbls>
          <c:val>
            <c:numRef>
              <c:f>'Градови - сумарни подаци'!$C$61</c:f>
              <c:numCache>
                <c:formatCode>General</c:formatCode>
                <c:ptCount val="1"/>
                <c:pt idx="0">
                  <c:v>10076</c:v>
                </c:pt>
              </c:numCache>
            </c:numRef>
          </c:val>
        </c:ser>
        <c:dLbls>
          <c:showLegendKey val="0"/>
          <c:showVal val="0"/>
          <c:showCatName val="0"/>
          <c:showSerName val="0"/>
          <c:showPercent val="0"/>
          <c:showBubbleSize val="0"/>
        </c:dLbls>
        <c:gapWidth val="55"/>
        <c:overlap val="100"/>
        <c:axId val="187953536"/>
        <c:axId val="187955072"/>
      </c:barChart>
      <c:catAx>
        <c:axId val="187953536"/>
        <c:scaling>
          <c:orientation val="minMax"/>
        </c:scaling>
        <c:delete val="1"/>
        <c:axPos val="b"/>
        <c:majorTickMark val="none"/>
        <c:minorTickMark val="none"/>
        <c:tickLblPos val="nextTo"/>
        <c:crossAx val="187955072"/>
        <c:crosses val="autoZero"/>
        <c:auto val="1"/>
        <c:lblAlgn val="ctr"/>
        <c:lblOffset val="100"/>
        <c:noMultiLvlLbl val="0"/>
      </c:catAx>
      <c:valAx>
        <c:axId val="187955072"/>
        <c:scaling>
          <c:orientation val="minMax"/>
          <c:min val="26000"/>
        </c:scaling>
        <c:delete val="0"/>
        <c:axPos val="l"/>
        <c:numFmt formatCode="General" sourceLinked="1"/>
        <c:majorTickMark val="none"/>
        <c:minorTickMark val="none"/>
        <c:tickLblPos val="nextTo"/>
        <c:crossAx val="1879535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Тренутно стање обраде захтева</a:t>
            </a:r>
            <a:endParaRPr lang="en-US" sz="1500">
              <a:effectLst/>
            </a:endParaRPr>
          </a:p>
        </c:rich>
      </c:tx>
      <c:layout/>
      <c:overlay val="0"/>
    </c:title>
    <c:autoTitleDeleted val="0"/>
    <c:plotArea>
      <c:layout/>
      <c:pieChart>
        <c:varyColors val="1"/>
        <c:ser>
          <c:idx val="0"/>
          <c:order val="0"/>
          <c:explosion val="25"/>
          <c:dPt>
            <c:idx val="0"/>
            <c:bubble3D val="0"/>
            <c:spPr>
              <a:solidFill>
                <a:schemeClr val="accent6"/>
              </a:solidFill>
            </c:spPr>
          </c:dPt>
          <c:dPt>
            <c:idx val="2"/>
            <c:bubble3D val="0"/>
            <c:spPr>
              <a:solidFill>
                <a:schemeClr val="accent1"/>
              </a:solidFill>
            </c:spPr>
          </c:dPt>
          <c:dLbls>
            <c:showLegendKey val="0"/>
            <c:showVal val="0"/>
            <c:showCatName val="0"/>
            <c:showSerName val="0"/>
            <c:showPercent val="1"/>
            <c:showBubbleSize val="0"/>
            <c:showLeaderLines val="1"/>
          </c:dLbls>
          <c:cat>
            <c:strRef>
              <c:f>'Општине - сумарни подаци'!$B$166:$B$168</c:f>
              <c:strCache>
                <c:ptCount val="3"/>
                <c:pt idx="0">
                  <c:v>Решени захтеви</c:v>
                </c:pt>
                <c:pt idx="1">
                  <c:v>Обустављени захтеви</c:v>
                </c:pt>
                <c:pt idx="2">
                  <c:v>Обрада захтева у току</c:v>
                </c:pt>
              </c:strCache>
            </c:strRef>
          </c:cat>
          <c:val>
            <c:numRef>
              <c:f>'Општине - сумарни подаци'!$C$166:$C$168</c:f>
              <c:numCache>
                <c:formatCode>General</c:formatCode>
                <c:ptCount val="3"/>
                <c:pt idx="0">
                  <c:v>66718</c:v>
                </c:pt>
                <c:pt idx="1">
                  <c:v>284</c:v>
                </c:pt>
                <c:pt idx="2">
                  <c:v>2772</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Cyrl-RS" sz="1500" b="1" i="0" baseline="0">
                <a:effectLst/>
              </a:rPr>
              <a:t>Позитивно/негативно решени захтеви</a:t>
            </a:r>
            <a:endParaRPr lang="en-US" sz="1500">
              <a:effectLst/>
            </a:endParaRPr>
          </a:p>
        </c:rich>
      </c:tx>
      <c:layout/>
      <c:overlay val="0"/>
    </c:title>
    <c:autoTitleDeleted val="0"/>
    <c:plotArea>
      <c:layout/>
      <c:pieChart>
        <c:varyColors val="1"/>
        <c:ser>
          <c:idx val="0"/>
          <c:order val="0"/>
          <c:explosion val="25"/>
          <c:dLbls>
            <c:showLegendKey val="0"/>
            <c:showVal val="0"/>
            <c:showCatName val="0"/>
            <c:showSerName val="0"/>
            <c:showPercent val="1"/>
            <c:showBubbleSize val="0"/>
            <c:showLeaderLines val="1"/>
          </c:dLbls>
          <c:cat>
            <c:strRef>
              <c:f>'Општине - сумарни подаци'!$B$170:$B$171</c:f>
              <c:strCache>
                <c:ptCount val="2"/>
                <c:pt idx="0">
                  <c:v>Позитивно решени захтеви</c:v>
                </c:pt>
                <c:pt idx="1">
                  <c:v>Негативно решени захтеви</c:v>
                </c:pt>
              </c:strCache>
            </c:strRef>
          </c:cat>
          <c:val>
            <c:numRef>
              <c:f>'Општине - сумарни подаци'!$C$170:$C$171</c:f>
              <c:numCache>
                <c:formatCode>General</c:formatCode>
                <c:ptCount val="2"/>
                <c:pt idx="0">
                  <c:v>57469</c:v>
                </c:pt>
                <c:pt idx="1">
                  <c:v>9249</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447675</xdr:colOff>
      <xdr:row>16</xdr:row>
      <xdr:rowOff>180975</xdr:rowOff>
    </xdr:from>
    <xdr:to>
      <xdr:col>3</xdr:col>
      <xdr:colOff>304800</xdr:colOff>
      <xdr:row>19</xdr:row>
      <xdr:rowOff>66675</xdr:rowOff>
    </xdr:to>
    <xdr:sp macro="" textlink="">
      <xdr:nvSpPr>
        <xdr:cNvPr id="2" name="Rectangle 1"/>
        <xdr:cNvSpPr/>
      </xdr:nvSpPr>
      <xdr:spPr>
        <a:xfrm>
          <a:off x="1057275" y="3228975"/>
          <a:ext cx="1076325" cy="4572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a:t>
          </a:r>
          <a:r>
            <a:rPr lang="sr-Cyrl-RS" sz="1100" baseline="0"/>
            <a:t> поднетих захтева</a:t>
          </a:r>
          <a:r>
            <a:rPr lang="sr-Latn-RS" sz="1100" baseline="0"/>
            <a:t>- 15</a:t>
          </a:r>
          <a:endParaRPr lang="en-US" sz="1100"/>
        </a:p>
      </xdr:txBody>
    </xdr:sp>
    <xdr:clientData/>
  </xdr:twoCellAnchor>
  <xdr:twoCellAnchor>
    <xdr:from>
      <xdr:col>3</xdr:col>
      <xdr:colOff>438149</xdr:colOff>
      <xdr:row>13</xdr:row>
      <xdr:rowOff>85725</xdr:rowOff>
    </xdr:from>
    <xdr:to>
      <xdr:col>5</xdr:col>
      <xdr:colOff>466725</xdr:colOff>
      <xdr:row>15</xdr:row>
      <xdr:rowOff>171451</xdr:rowOff>
    </xdr:to>
    <xdr:sp macro="" textlink="">
      <xdr:nvSpPr>
        <xdr:cNvPr id="3" name="Rectangle 2"/>
        <xdr:cNvSpPr/>
      </xdr:nvSpPr>
      <xdr:spPr>
        <a:xfrm>
          <a:off x="2266949" y="2562225"/>
          <a:ext cx="1247776"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оригиналних захтева </a:t>
          </a:r>
          <a:r>
            <a:rPr lang="sr-Latn-RS" sz="1100" baseline="0"/>
            <a:t>- </a:t>
          </a:r>
          <a:r>
            <a:rPr lang="sr-Latn-RS" sz="1100" b="1" baseline="0">
              <a:solidFill>
                <a:schemeClr val="accent4">
                  <a:lumMod val="60000"/>
                  <a:lumOff val="40000"/>
                </a:schemeClr>
              </a:solidFill>
            </a:rPr>
            <a:t>10</a:t>
          </a:r>
          <a:endParaRPr lang="en-US" sz="1100" b="1">
            <a:solidFill>
              <a:schemeClr val="accent4">
                <a:lumMod val="60000"/>
                <a:lumOff val="40000"/>
              </a:schemeClr>
            </a:solidFill>
          </a:endParaRPr>
        </a:p>
      </xdr:txBody>
    </xdr:sp>
    <xdr:clientData/>
  </xdr:twoCellAnchor>
  <xdr:twoCellAnchor>
    <xdr:from>
      <xdr:col>3</xdr:col>
      <xdr:colOff>400050</xdr:colOff>
      <xdr:row>20</xdr:row>
      <xdr:rowOff>171449</xdr:rowOff>
    </xdr:from>
    <xdr:to>
      <xdr:col>5</xdr:col>
      <xdr:colOff>409575</xdr:colOff>
      <xdr:row>23</xdr:row>
      <xdr:rowOff>85724</xdr:rowOff>
    </xdr:to>
    <xdr:sp macro="" textlink="">
      <xdr:nvSpPr>
        <xdr:cNvPr id="4" name="Rectangle 3"/>
        <xdr:cNvSpPr/>
      </xdr:nvSpPr>
      <xdr:spPr>
        <a:xfrm>
          <a:off x="2228850" y="3981449"/>
          <a:ext cx="1228725" cy="485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усаглашених захтева </a:t>
          </a:r>
          <a:r>
            <a:rPr lang="sr-Latn-RS" sz="1100" baseline="0"/>
            <a:t>- 5</a:t>
          </a:r>
          <a:endParaRPr lang="en-US" sz="1100"/>
        </a:p>
      </xdr:txBody>
    </xdr:sp>
    <xdr:clientData/>
  </xdr:twoCellAnchor>
  <xdr:twoCellAnchor>
    <xdr:from>
      <xdr:col>5</xdr:col>
      <xdr:colOff>581024</xdr:colOff>
      <xdr:row>11</xdr:row>
      <xdr:rowOff>133350</xdr:rowOff>
    </xdr:from>
    <xdr:to>
      <xdr:col>7</xdr:col>
      <xdr:colOff>561975</xdr:colOff>
      <xdr:row>14</xdr:row>
      <xdr:rowOff>28576</xdr:rowOff>
    </xdr:to>
    <xdr:sp macro="" textlink="">
      <xdr:nvSpPr>
        <xdr:cNvPr id="5" name="Rectangle 4"/>
        <xdr:cNvSpPr/>
      </xdr:nvSpPr>
      <xdr:spPr>
        <a:xfrm>
          <a:off x="3629024" y="222885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позитивно решених </a:t>
          </a:r>
          <a:r>
            <a:rPr lang="sr-Latn-RS" sz="1100" baseline="0"/>
            <a:t>- 5 </a:t>
          </a:r>
          <a:endParaRPr lang="en-US" sz="1100"/>
        </a:p>
      </xdr:txBody>
    </xdr:sp>
    <xdr:clientData/>
  </xdr:twoCellAnchor>
  <xdr:twoCellAnchor>
    <xdr:from>
      <xdr:col>5</xdr:col>
      <xdr:colOff>581024</xdr:colOff>
      <xdr:row>15</xdr:row>
      <xdr:rowOff>0</xdr:rowOff>
    </xdr:from>
    <xdr:to>
      <xdr:col>7</xdr:col>
      <xdr:colOff>561975</xdr:colOff>
      <xdr:row>17</xdr:row>
      <xdr:rowOff>85726</xdr:rowOff>
    </xdr:to>
    <xdr:sp macro="" textlink="">
      <xdr:nvSpPr>
        <xdr:cNvPr id="6" name="Rectangle 5"/>
        <xdr:cNvSpPr/>
      </xdr:nvSpPr>
      <xdr:spPr>
        <a:xfrm>
          <a:off x="3629024" y="285750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t>Број негативно</a:t>
          </a:r>
          <a:r>
            <a:rPr lang="sr-Cyrl-RS" sz="1100" baseline="0"/>
            <a:t> решених </a:t>
          </a:r>
          <a:r>
            <a:rPr lang="sr-Latn-RS" sz="1100" baseline="0"/>
            <a:t>- 5</a:t>
          </a:r>
          <a:endParaRPr lang="en-US" sz="1100"/>
        </a:p>
      </xdr:txBody>
    </xdr:sp>
    <xdr:clientData/>
  </xdr:twoCellAnchor>
  <xdr:twoCellAnchor>
    <xdr:from>
      <xdr:col>5</xdr:col>
      <xdr:colOff>609599</xdr:colOff>
      <xdr:row>19</xdr:row>
      <xdr:rowOff>57150</xdr:rowOff>
    </xdr:from>
    <xdr:to>
      <xdr:col>7</xdr:col>
      <xdr:colOff>590550</xdr:colOff>
      <xdr:row>21</xdr:row>
      <xdr:rowOff>142876</xdr:rowOff>
    </xdr:to>
    <xdr:sp macro="" textlink="">
      <xdr:nvSpPr>
        <xdr:cNvPr id="7" name="Rectangle 6"/>
        <xdr:cNvSpPr/>
      </xdr:nvSpPr>
      <xdr:spPr>
        <a:xfrm>
          <a:off x="3657599" y="3676650"/>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Број позитивно решених </a:t>
          </a:r>
          <a:r>
            <a:rPr lang="sr-Latn-RS" sz="1100" baseline="0"/>
            <a:t>- 4</a:t>
          </a:r>
          <a:endParaRPr lang="en-US" sz="1100"/>
        </a:p>
      </xdr:txBody>
    </xdr:sp>
    <xdr:clientData/>
  </xdr:twoCellAnchor>
  <xdr:twoCellAnchor>
    <xdr:from>
      <xdr:col>5</xdr:col>
      <xdr:colOff>581024</xdr:colOff>
      <xdr:row>22</xdr:row>
      <xdr:rowOff>142875</xdr:rowOff>
    </xdr:from>
    <xdr:to>
      <xdr:col>7</xdr:col>
      <xdr:colOff>561975</xdr:colOff>
      <xdr:row>25</xdr:row>
      <xdr:rowOff>38101</xdr:rowOff>
    </xdr:to>
    <xdr:sp macro="" textlink="">
      <xdr:nvSpPr>
        <xdr:cNvPr id="8" name="Rectangle 7"/>
        <xdr:cNvSpPr/>
      </xdr:nvSpPr>
      <xdr:spPr>
        <a:xfrm>
          <a:off x="3629024" y="4333875"/>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t>- 1</a:t>
          </a:r>
          <a:endParaRPr lang="en-US" sz="1100"/>
        </a:p>
      </xdr:txBody>
    </xdr:sp>
    <xdr:clientData/>
  </xdr:twoCellAnchor>
  <xdr:twoCellAnchor>
    <xdr:from>
      <xdr:col>3</xdr:col>
      <xdr:colOff>257175</xdr:colOff>
      <xdr:row>15</xdr:row>
      <xdr:rowOff>180975</xdr:rowOff>
    </xdr:from>
    <xdr:to>
      <xdr:col>3</xdr:col>
      <xdr:colOff>428625</xdr:colOff>
      <xdr:row>17</xdr:row>
      <xdr:rowOff>0</xdr:rowOff>
    </xdr:to>
    <xdr:cxnSp macro="">
      <xdr:nvCxnSpPr>
        <xdr:cNvPr id="9" name="Straight Arrow Connector 8"/>
        <xdr:cNvCxnSpPr/>
      </xdr:nvCxnSpPr>
      <xdr:spPr>
        <a:xfrm flipV="1">
          <a:off x="2085975" y="303847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400049</xdr:colOff>
      <xdr:row>12</xdr:row>
      <xdr:rowOff>104775</xdr:rowOff>
    </xdr:from>
    <xdr:to>
      <xdr:col>5</xdr:col>
      <xdr:colOff>571499</xdr:colOff>
      <xdr:row>13</xdr:row>
      <xdr:rowOff>114300</xdr:rowOff>
    </xdr:to>
    <xdr:cxnSp macro="">
      <xdr:nvCxnSpPr>
        <xdr:cNvPr id="10" name="Straight Arrow Connector 9"/>
        <xdr:cNvCxnSpPr/>
      </xdr:nvCxnSpPr>
      <xdr:spPr>
        <a:xfrm flipV="1">
          <a:off x="3448049" y="239077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409574</xdr:colOff>
      <xdr:row>20</xdr:row>
      <xdr:rowOff>123825</xdr:rowOff>
    </xdr:from>
    <xdr:to>
      <xdr:col>5</xdr:col>
      <xdr:colOff>581024</xdr:colOff>
      <xdr:row>21</xdr:row>
      <xdr:rowOff>133350</xdr:rowOff>
    </xdr:to>
    <xdr:cxnSp macro="">
      <xdr:nvCxnSpPr>
        <xdr:cNvPr id="11" name="Straight Arrow Connector 10"/>
        <xdr:cNvCxnSpPr/>
      </xdr:nvCxnSpPr>
      <xdr:spPr>
        <a:xfrm flipV="1">
          <a:off x="3457574" y="3933825"/>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257175</xdr:colOff>
      <xdr:row>19</xdr:row>
      <xdr:rowOff>66675</xdr:rowOff>
    </xdr:from>
    <xdr:to>
      <xdr:col>3</xdr:col>
      <xdr:colOff>409575</xdr:colOff>
      <xdr:row>20</xdr:row>
      <xdr:rowOff>161925</xdr:rowOff>
    </xdr:to>
    <xdr:cxnSp macro="">
      <xdr:nvCxnSpPr>
        <xdr:cNvPr id="12" name="Straight Arrow Connector 11"/>
        <xdr:cNvCxnSpPr/>
      </xdr:nvCxnSpPr>
      <xdr:spPr>
        <a:xfrm>
          <a:off x="2085975" y="3686175"/>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419100</xdr:colOff>
      <xdr:row>15</xdr:row>
      <xdr:rowOff>38100</xdr:rowOff>
    </xdr:from>
    <xdr:to>
      <xdr:col>5</xdr:col>
      <xdr:colOff>571500</xdr:colOff>
      <xdr:row>16</xdr:row>
      <xdr:rowOff>133350</xdr:rowOff>
    </xdr:to>
    <xdr:cxnSp macro="">
      <xdr:nvCxnSpPr>
        <xdr:cNvPr id="13" name="Straight Arrow Connector 12"/>
        <xdr:cNvCxnSpPr/>
      </xdr:nvCxnSpPr>
      <xdr:spPr>
        <a:xfrm>
          <a:off x="3467100" y="289560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390525</xdr:colOff>
      <xdr:row>22</xdr:row>
      <xdr:rowOff>57150</xdr:rowOff>
    </xdr:from>
    <xdr:to>
      <xdr:col>5</xdr:col>
      <xdr:colOff>542925</xdr:colOff>
      <xdr:row>23</xdr:row>
      <xdr:rowOff>152400</xdr:rowOff>
    </xdr:to>
    <xdr:cxnSp macro="">
      <xdr:nvCxnSpPr>
        <xdr:cNvPr id="14" name="Straight Arrow Connector 13"/>
        <xdr:cNvCxnSpPr/>
      </xdr:nvCxnSpPr>
      <xdr:spPr>
        <a:xfrm>
          <a:off x="3438525" y="424815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508000</xdr:colOff>
      <xdr:row>17</xdr:row>
      <xdr:rowOff>84667</xdr:rowOff>
    </xdr:from>
    <xdr:to>
      <xdr:col>5</xdr:col>
      <xdr:colOff>582084</xdr:colOff>
      <xdr:row>20</xdr:row>
      <xdr:rowOff>137584</xdr:rowOff>
    </xdr:to>
    <xdr:cxnSp macro="">
      <xdr:nvCxnSpPr>
        <xdr:cNvPr id="15" name="Straight Arrow Connector 14"/>
        <xdr:cNvCxnSpPr/>
      </xdr:nvCxnSpPr>
      <xdr:spPr>
        <a:xfrm flipH="1">
          <a:off x="2946400" y="3323167"/>
          <a:ext cx="683684" cy="624417"/>
        </a:xfrm>
        <a:prstGeom prst="straightConnector1">
          <a:avLst/>
        </a:prstGeom>
        <a:ln>
          <a:tailEnd type="arrow"/>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349250</xdr:colOff>
      <xdr:row>15</xdr:row>
      <xdr:rowOff>0</xdr:rowOff>
    </xdr:from>
    <xdr:to>
      <xdr:col>8</xdr:col>
      <xdr:colOff>285750</xdr:colOff>
      <xdr:row>17</xdr:row>
      <xdr:rowOff>31750</xdr:rowOff>
    </xdr:to>
    <xdr:cxnSp macro="">
      <xdr:nvCxnSpPr>
        <xdr:cNvPr id="16" name="Straight Connector 15"/>
        <xdr:cNvCxnSpPr/>
      </xdr:nvCxnSpPr>
      <xdr:spPr>
        <a:xfrm flipV="1">
          <a:off x="3397250" y="2857500"/>
          <a:ext cx="1765300" cy="412750"/>
        </a:xfrm>
        <a:prstGeom prst="line">
          <a:avLst/>
        </a:prstGeom>
        <a:ln w="50800">
          <a:solidFill>
            <a:schemeClr val="accent6">
              <a:lumMod val="75000"/>
            </a:scheme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552450</xdr:colOff>
      <xdr:row>14</xdr:row>
      <xdr:rowOff>0</xdr:rowOff>
    </xdr:from>
    <xdr:to>
      <xdr:col>11</xdr:col>
      <xdr:colOff>2118</xdr:colOff>
      <xdr:row>16</xdr:row>
      <xdr:rowOff>159809</xdr:rowOff>
    </xdr:to>
    <xdr:sp macro="" textlink="">
      <xdr:nvSpPr>
        <xdr:cNvPr id="17" name="Rectangle 16"/>
        <xdr:cNvSpPr/>
      </xdr:nvSpPr>
      <xdr:spPr>
        <a:xfrm>
          <a:off x="5429250" y="2667000"/>
          <a:ext cx="1278468" cy="54080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r>
            <a:rPr lang="sr-Cyrl-RS" sz="1100"/>
            <a:t>Укупно</a:t>
          </a:r>
          <a:r>
            <a:rPr lang="sr-Latn-RS" sz="1100"/>
            <a:t> </a:t>
          </a:r>
          <a:r>
            <a:rPr lang="sr-Cyrl-RS" sz="1100">
              <a:solidFill>
                <a:schemeClr val="lt1"/>
              </a:solidFill>
              <a:effectLst/>
              <a:latin typeface="+mn-lt"/>
              <a:ea typeface="+mn-ea"/>
              <a:cs typeface="+mn-cs"/>
            </a:rPr>
            <a:t>позитивно решених </a:t>
          </a:r>
          <a:r>
            <a:rPr lang="sr-Latn-RS" sz="1100" baseline="0"/>
            <a:t>5+4</a:t>
          </a:r>
          <a:r>
            <a:rPr lang="en-US" sz="1100" baseline="0"/>
            <a:t>=9</a:t>
          </a:r>
          <a:endParaRPr lang="en-US" sz="1100"/>
        </a:p>
      </xdr:txBody>
    </xdr:sp>
    <xdr:clientData/>
  </xdr:twoCellAnchor>
  <xdr:twoCellAnchor>
    <xdr:from>
      <xdr:col>8</xdr:col>
      <xdr:colOff>552450</xdr:colOff>
      <xdr:row>17</xdr:row>
      <xdr:rowOff>131233</xdr:rowOff>
    </xdr:from>
    <xdr:to>
      <xdr:col>11</xdr:col>
      <xdr:colOff>17994</xdr:colOff>
      <xdr:row>20</xdr:row>
      <xdr:rowOff>100542</xdr:rowOff>
    </xdr:to>
    <xdr:sp macro="" textlink="">
      <xdr:nvSpPr>
        <xdr:cNvPr id="18" name="Rectangle 17"/>
        <xdr:cNvSpPr/>
      </xdr:nvSpPr>
      <xdr:spPr>
        <a:xfrm>
          <a:off x="5429250" y="3369733"/>
          <a:ext cx="1294344" cy="540809"/>
        </a:xfrm>
        <a:prstGeom prst="rect">
          <a:avLst/>
        </a:prstGeom>
      </xdr:spPr>
      <xdr:style>
        <a:lnRef idx="3">
          <a:schemeClr val="lt1"/>
        </a:lnRef>
        <a:fillRef idx="1">
          <a:schemeClr val="accent3"/>
        </a:fillRef>
        <a:effectRef idx="1">
          <a:schemeClr val="accent3"/>
        </a:effectRef>
        <a:fontRef idx="minor">
          <a:schemeClr val="lt1"/>
        </a:fontRef>
      </xdr:style>
      <xdr:txBody>
        <a:bodyPr vertOverflow="clip" horzOverflow="clip" rtlCol="0" anchor="t"/>
        <a:lstStyle/>
        <a:p>
          <a:pPr algn="l"/>
          <a:r>
            <a:rPr lang="sr-Cyrl-RS" sz="1100">
              <a:solidFill>
                <a:schemeClr val="lt1"/>
              </a:solidFill>
              <a:effectLst/>
              <a:latin typeface="+mn-lt"/>
              <a:ea typeface="+mn-ea"/>
              <a:cs typeface="+mn-cs"/>
            </a:rPr>
            <a:t>Укупно негативно</a:t>
          </a:r>
          <a:r>
            <a:rPr lang="sr-Cyrl-RS" sz="1100" baseline="0">
              <a:solidFill>
                <a:schemeClr val="lt1"/>
              </a:solidFill>
              <a:effectLst/>
              <a:latin typeface="+mn-lt"/>
              <a:ea typeface="+mn-ea"/>
              <a:cs typeface="+mn-cs"/>
            </a:rPr>
            <a:t> решених </a:t>
          </a:r>
          <a:r>
            <a:rPr lang="sr-Latn-RS" sz="1100" baseline="0"/>
            <a:t> </a:t>
          </a:r>
          <a:r>
            <a:rPr lang="en-US" sz="1100" baseline="0"/>
            <a:t>1</a:t>
          </a:r>
          <a:endParaRPr lang="en-US" sz="1100"/>
        </a:p>
      </xdr:txBody>
    </xdr:sp>
    <xdr:clientData/>
  </xdr:twoCellAnchor>
  <xdr:twoCellAnchor>
    <xdr:from>
      <xdr:col>1</xdr:col>
      <xdr:colOff>371475</xdr:colOff>
      <xdr:row>31</xdr:row>
      <xdr:rowOff>117476</xdr:rowOff>
    </xdr:from>
    <xdr:to>
      <xdr:col>3</xdr:col>
      <xdr:colOff>531283</xdr:colOff>
      <xdr:row>35</xdr:row>
      <xdr:rowOff>0</xdr:rowOff>
    </xdr:to>
    <xdr:sp macro="" textlink="">
      <xdr:nvSpPr>
        <xdr:cNvPr id="19" name="Rectangle 18"/>
        <xdr:cNvSpPr/>
      </xdr:nvSpPr>
      <xdr:spPr>
        <a:xfrm>
          <a:off x="981075" y="6022976"/>
          <a:ext cx="1379008" cy="6445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оригиналних захтева / "предмета" </a:t>
          </a:r>
          <a:r>
            <a:rPr lang="sr-Latn-RS" sz="1100" baseline="0">
              <a:solidFill>
                <a:schemeClr val="lt1"/>
              </a:solidFill>
              <a:effectLst/>
              <a:latin typeface="+mn-lt"/>
              <a:ea typeface="+mn-ea"/>
              <a:cs typeface="+mn-cs"/>
            </a:rPr>
            <a:t>- </a:t>
          </a:r>
          <a:r>
            <a:rPr lang="sr-Latn-RS" sz="1100" b="1" baseline="0">
              <a:solidFill>
                <a:schemeClr val="lt1"/>
              </a:solidFill>
              <a:effectLst/>
              <a:latin typeface="+mn-lt"/>
              <a:ea typeface="+mn-ea"/>
              <a:cs typeface="+mn-cs"/>
            </a:rPr>
            <a:t>10</a:t>
          </a:r>
          <a:endParaRPr lang="en-US">
            <a:effectLst/>
          </a:endParaRPr>
        </a:p>
      </xdr:txBody>
    </xdr:sp>
    <xdr:clientData/>
  </xdr:twoCellAnchor>
  <xdr:twoCellAnchor>
    <xdr:from>
      <xdr:col>4</xdr:col>
      <xdr:colOff>100541</xdr:colOff>
      <xdr:row>29</xdr:row>
      <xdr:rowOff>154518</xdr:rowOff>
    </xdr:from>
    <xdr:to>
      <xdr:col>6</xdr:col>
      <xdr:colOff>81492</xdr:colOff>
      <xdr:row>32</xdr:row>
      <xdr:rowOff>123827</xdr:rowOff>
    </xdr:to>
    <xdr:sp macro="" textlink="">
      <xdr:nvSpPr>
        <xdr:cNvPr id="20" name="Rectangle 19"/>
        <xdr:cNvSpPr/>
      </xdr:nvSpPr>
      <xdr:spPr>
        <a:xfrm>
          <a:off x="2538941" y="5679018"/>
          <a:ext cx="1200151" cy="5408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позитивно решених </a:t>
          </a:r>
          <a:r>
            <a:rPr lang="sr-Latn-RS" sz="1100" baseline="0">
              <a:solidFill>
                <a:schemeClr val="lt1"/>
              </a:solidFill>
              <a:effectLst/>
              <a:latin typeface="+mn-lt"/>
              <a:ea typeface="+mn-ea"/>
              <a:cs typeface="+mn-cs"/>
            </a:rPr>
            <a:t>- 5 </a:t>
          </a:r>
          <a:endParaRPr lang="en-US">
            <a:effectLst/>
          </a:endParaRPr>
        </a:p>
      </xdr:txBody>
    </xdr:sp>
    <xdr:clientData/>
  </xdr:twoCellAnchor>
  <xdr:twoCellAnchor>
    <xdr:from>
      <xdr:col>4</xdr:col>
      <xdr:colOff>47624</xdr:colOff>
      <xdr:row>34</xdr:row>
      <xdr:rowOff>10584</xdr:rowOff>
    </xdr:from>
    <xdr:to>
      <xdr:col>6</xdr:col>
      <xdr:colOff>28575</xdr:colOff>
      <xdr:row>36</xdr:row>
      <xdr:rowOff>96310</xdr:rowOff>
    </xdr:to>
    <xdr:sp macro="" textlink="">
      <xdr:nvSpPr>
        <xdr:cNvPr id="21" name="Rectangle 20"/>
        <xdr:cNvSpPr/>
      </xdr:nvSpPr>
      <xdr:spPr>
        <a:xfrm>
          <a:off x="2486024" y="6487584"/>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solidFill>
                <a:schemeClr val="lt1"/>
              </a:solidFill>
              <a:effectLst/>
              <a:latin typeface="+mn-lt"/>
              <a:ea typeface="+mn-ea"/>
              <a:cs typeface="+mn-cs"/>
            </a:rPr>
            <a:t>- </a:t>
          </a:r>
          <a:r>
            <a:rPr lang="sr-Cyrl-RS" sz="1100" baseline="0">
              <a:solidFill>
                <a:schemeClr val="lt1"/>
              </a:solidFill>
              <a:effectLst/>
              <a:latin typeface="+mn-lt"/>
              <a:ea typeface="+mn-ea"/>
              <a:cs typeface="+mn-cs"/>
            </a:rPr>
            <a:t>5</a:t>
          </a:r>
          <a:endParaRPr lang="en-US">
            <a:effectLst/>
          </a:endParaRPr>
        </a:p>
      </xdr:txBody>
    </xdr:sp>
    <xdr:clientData/>
  </xdr:twoCellAnchor>
  <xdr:twoCellAnchor>
    <xdr:from>
      <xdr:col>8</xdr:col>
      <xdr:colOff>393699</xdr:colOff>
      <xdr:row>31</xdr:row>
      <xdr:rowOff>131233</xdr:rowOff>
    </xdr:from>
    <xdr:to>
      <xdr:col>10</xdr:col>
      <xdr:colOff>374650</xdr:colOff>
      <xdr:row>34</xdr:row>
      <xdr:rowOff>26459</xdr:rowOff>
    </xdr:to>
    <xdr:sp macro="" textlink="">
      <xdr:nvSpPr>
        <xdr:cNvPr id="22" name="Rectangle 21"/>
        <xdr:cNvSpPr/>
      </xdr:nvSpPr>
      <xdr:spPr>
        <a:xfrm>
          <a:off x="5270499" y="6036733"/>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позитивно решених </a:t>
          </a:r>
          <a:r>
            <a:rPr lang="sr-Latn-RS" sz="1100" baseline="0">
              <a:solidFill>
                <a:schemeClr val="lt1"/>
              </a:solidFill>
              <a:effectLst/>
              <a:latin typeface="+mn-lt"/>
              <a:ea typeface="+mn-ea"/>
              <a:cs typeface="+mn-cs"/>
            </a:rPr>
            <a:t>- 4</a:t>
          </a:r>
          <a:endParaRPr lang="en-US">
            <a:effectLst/>
          </a:endParaRPr>
        </a:p>
      </xdr:txBody>
    </xdr:sp>
    <xdr:clientData/>
  </xdr:twoCellAnchor>
  <xdr:twoCellAnchor>
    <xdr:from>
      <xdr:col>8</xdr:col>
      <xdr:colOff>396874</xdr:colOff>
      <xdr:row>36</xdr:row>
      <xdr:rowOff>164042</xdr:rowOff>
    </xdr:from>
    <xdr:to>
      <xdr:col>10</xdr:col>
      <xdr:colOff>377825</xdr:colOff>
      <xdr:row>39</xdr:row>
      <xdr:rowOff>59268</xdr:rowOff>
    </xdr:to>
    <xdr:sp macro="" textlink="">
      <xdr:nvSpPr>
        <xdr:cNvPr id="23" name="Rectangle 22"/>
        <xdr:cNvSpPr/>
      </xdr:nvSpPr>
      <xdr:spPr>
        <a:xfrm>
          <a:off x="5273674" y="7022042"/>
          <a:ext cx="1200151" cy="4667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негативно</a:t>
          </a:r>
          <a:r>
            <a:rPr lang="sr-Cyrl-RS" sz="1100" baseline="0">
              <a:solidFill>
                <a:schemeClr val="lt1"/>
              </a:solidFill>
              <a:effectLst/>
              <a:latin typeface="+mn-lt"/>
              <a:ea typeface="+mn-ea"/>
              <a:cs typeface="+mn-cs"/>
            </a:rPr>
            <a:t> решених </a:t>
          </a:r>
          <a:r>
            <a:rPr lang="sr-Latn-RS" sz="1100" baseline="0">
              <a:solidFill>
                <a:schemeClr val="lt1"/>
              </a:solidFill>
              <a:effectLst/>
              <a:latin typeface="+mn-lt"/>
              <a:ea typeface="+mn-ea"/>
              <a:cs typeface="+mn-cs"/>
            </a:rPr>
            <a:t>- 1</a:t>
          </a:r>
          <a:endParaRPr lang="en-US">
            <a:effectLst/>
          </a:endParaRPr>
        </a:p>
      </xdr:txBody>
    </xdr:sp>
    <xdr:clientData/>
  </xdr:twoCellAnchor>
  <xdr:twoCellAnchor>
    <xdr:from>
      <xdr:col>6</xdr:col>
      <xdr:colOff>232833</xdr:colOff>
      <xdr:row>33</xdr:row>
      <xdr:rowOff>179917</xdr:rowOff>
    </xdr:from>
    <xdr:to>
      <xdr:col>8</xdr:col>
      <xdr:colOff>257175</xdr:colOff>
      <xdr:row>36</xdr:row>
      <xdr:rowOff>94192</xdr:rowOff>
    </xdr:to>
    <xdr:sp macro="" textlink="">
      <xdr:nvSpPr>
        <xdr:cNvPr id="24" name="Rectangle 23"/>
        <xdr:cNvSpPr/>
      </xdr:nvSpPr>
      <xdr:spPr>
        <a:xfrm>
          <a:off x="3890433" y="6466417"/>
          <a:ext cx="1243542" cy="4857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sr-Cyrl-RS" sz="1100">
              <a:solidFill>
                <a:schemeClr val="lt1"/>
              </a:solidFill>
              <a:effectLst/>
              <a:latin typeface="+mn-lt"/>
              <a:ea typeface="+mn-ea"/>
              <a:cs typeface="+mn-cs"/>
            </a:rPr>
            <a:t>Број усаглашених захтева </a:t>
          </a:r>
          <a:r>
            <a:rPr lang="sr-Latn-RS" sz="1100" baseline="0">
              <a:solidFill>
                <a:schemeClr val="lt1"/>
              </a:solidFill>
              <a:effectLst/>
              <a:latin typeface="+mn-lt"/>
              <a:ea typeface="+mn-ea"/>
              <a:cs typeface="+mn-cs"/>
            </a:rPr>
            <a:t>- 5</a:t>
          </a:r>
          <a:endParaRPr lang="en-US">
            <a:effectLst/>
          </a:endParaRPr>
        </a:p>
      </xdr:txBody>
    </xdr:sp>
    <xdr:clientData/>
  </xdr:twoCellAnchor>
  <xdr:twoCellAnchor>
    <xdr:from>
      <xdr:col>8</xdr:col>
      <xdr:colOff>222251</xdr:colOff>
      <xdr:row>36</xdr:row>
      <xdr:rowOff>63500</xdr:rowOff>
    </xdr:from>
    <xdr:to>
      <xdr:col>8</xdr:col>
      <xdr:colOff>374651</xdr:colOff>
      <xdr:row>37</xdr:row>
      <xdr:rowOff>158750</xdr:rowOff>
    </xdr:to>
    <xdr:cxnSp macro="">
      <xdr:nvCxnSpPr>
        <xdr:cNvPr id="25" name="Straight Arrow Connector 24"/>
        <xdr:cNvCxnSpPr/>
      </xdr:nvCxnSpPr>
      <xdr:spPr>
        <a:xfrm>
          <a:off x="5099051" y="6921500"/>
          <a:ext cx="152400"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232833</xdr:colOff>
      <xdr:row>33</xdr:row>
      <xdr:rowOff>21167</xdr:rowOff>
    </xdr:from>
    <xdr:to>
      <xdr:col>8</xdr:col>
      <xdr:colOff>404283</xdr:colOff>
      <xdr:row>34</xdr:row>
      <xdr:rowOff>30692</xdr:rowOff>
    </xdr:to>
    <xdr:cxnSp macro="">
      <xdr:nvCxnSpPr>
        <xdr:cNvPr id="26" name="Straight Arrow Connector 25"/>
        <xdr:cNvCxnSpPr/>
      </xdr:nvCxnSpPr>
      <xdr:spPr>
        <a:xfrm flipV="1">
          <a:off x="5109633" y="6307667"/>
          <a:ext cx="171450" cy="2000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xdr:colOff>
      <xdr:row>35</xdr:row>
      <xdr:rowOff>41805</xdr:rowOff>
    </xdr:from>
    <xdr:to>
      <xdr:col>6</xdr:col>
      <xdr:colOff>232833</xdr:colOff>
      <xdr:row>35</xdr:row>
      <xdr:rowOff>53447</xdr:rowOff>
    </xdr:to>
    <xdr:cxnSp macro="">
      <xdr:nvCxnSpPr>
        <xdr:cNvPr id="27" name="Straight Arrow Connector 26"/>
        <xdr:cNvCxnSpPr>
          <a:stCxn id="21" idx="3"/>
          <a:endCxn id="24" idx="1"/>
        </xdr:cNvCxnSpPr>
      </xdr:nvCxnSpPr>
      <xdr:spPr>
        <a:xfrm flipV="1">
          <a:off x="3686175" y="6709305"/>
          <a:ext cx="204258" cy="116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497417</xdr:colOff>
      <xdr:row>31</xdr:row>
      <xdr:rowOff>179917</xdr:rowOff>
    </xdr:from>
    <xdr:to>
      <xdr:col>4</xdr:col>
      <xdr:colOff>84667</xdr:colOff>
      <xdr:row>32</xdr:row>
      <xdr:rowOff>117475</xdr:rowOff>
    </xdr:to>
    <xdr:cxnSp macro="">
      <xdr:nvCxnSpPr>
        <xdr:cNvPr id="28" name="Straight Arrow Connector 27"/>
        <xdr:cNvCxnSpPr/>
      </xdr:nvCxnSpPr>
      <xdr:spPr>
        <a:xfrm flipV="1">
          <a:off x="2326217" y="6085417"/>
          <a:ext cx="196850" cy="1280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531283</xdr:colOff>
      <xdr:row>33</xdr:row>
      <xdr:rowOff>58738</xdr:rowOff>
    </xdr:from>
    <xdr:to>
      <xdr:col>4</xdr:col>
      <xdr:colOff>74083</xdr:colOff>
      <xdr:row>34</xdr:row>
      <xdr:rowOff>127000</xdr:rowOff>
    </xdr:to>
    <xdr:cxnSp macro="">
      <xdr:nvCxnSpPr>
        <xdr:cNvPr id="29" name="Straight Arrow Connector 28"/>
        <xdr:cNvCxnSpPr>
          <a:stCxn id="19" idx="3"/>
        </xdr:cNvCxnSpPr>
      </xdr:nvCxnSpPr>
      <xdr:spPr>
        <a:xfrm>
          <a:off x="2360083" y="6345238"/>
          <a:ext cx="152400" cy="258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535780</xdr:colOff>
      <xdr:row>3</xdr:row>
      <xdr:rowOff>178594</xdr:rowOff>
    </xdr:from>
    <xdr:to>
      <xdr:col>14</xdr:col>
      <xdr:colOff>261937</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23812</xdr:colOff>
      <xdr:row>3</xdr:row>
      <xdr:rowOff>178595</xdr:rowOff>
    </xdr:from>
    <xdr:to>
      <xdr:col>7</xdr:col>
      <xdr:colOff>345282</xdr:colOff>
      <xdr:row>16</xdr:row>
      <xdr:rowOff>178595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571498</xdr:colOff>
      <xdr:row>5</xdr:row>
      <xdr:rowOff>190499</xdr:rowOff>
    </xdr:from>
    <xdr:to>
      <xdr:col>17</xdr:col>
      <xdr:colOff>380999</xdr:colOff>
      <xdr:row>14</xdr:row>
      <xdr:rowOff>130598</xdr:rowOff>
    </xdr:to>
    <xdr:pic>
      <xdr:nvPicPr>
        <xdr:cNvPr id="4" name="Picture 3"/>
        <xdr:cNvPicPr>
          <a:picLocks noChangeAspect="1"/>
        </xdr:cNvPicPr>
      </xdr:nvPicPr>
      <xdr:blipFill>
        <a:blip xmlns:r="http://schemas.openxmlformats.org/officeDocument/2006/relationships" r:embed="rId3"/>
        <a:stretch>
          <a:fillRect/>
        </a:stretch>
      </xdr:blipFill>
      <xdr:spPr>
        <a:xfrm>
          <a:off x="9072561" y="1202530"/>
          <a:ext cx="1631157" cy="1654599"/>
        </a:xfrm>
        <a:prstGeom prst="rect">
          <a:avLst/>
        </a:prstGeom>
      </xdr:spPr>
    </xdr:pic>
    <xdr:clientData/>
  </xdr:twoCellAnchor>
  <xdr:twoCellAnchor>
    <xdr:from>
      <xdr:col>18</xdr:col>
      <xdr:colOff>11906</xdr:colOff>
      <xdr:row>4</xdr:row>
      <xdr:rowOff>11906</xdr:rowOff>
    </xdr:from>
    <xdr:to>
      <xdr:col>24</xdr:col>
      <xdr:colOff>595313</xdr:colOff>
      <xdr:row>16</xdr:row>
      <xdr:rowOff>178594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18</xdr:row>
      <xdr:rowOff>0</xdr:rowOff>
    </xdr:from>
    <xdr:to>
      <xdr:col>24</xdr:col>
      <xdr:colOff>595313</xdr:colOff>
      <xdr:row>38</xdr:row>
      <xdr:rowOff>95250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47625</xdr:colOff>
      <xdr:row>11</xdr:row>
      <xdr:rowOff>1</xdr:rowOff>
    </xdr:from>
    <xdr:to>
      <xdr:col>10</xdr:col>
      <xdr:colOff>500063</xdr:colOff>
      <xdr:row>18</xdr:row>
      <xdr:rowOff>19165</xdr:rowOff>
    </xdr:to>
    <xdr:pic>
      <xdr:nvPicPr>
        <xdr:cNvPr id="2" name="Picture 1"/>
        <xdr:cNvPicPr>
          <a:picLocks noChangeAspect="1"/>
        </xdr:cNvPicPr>
      </xdr:nvPicPr>
      <xdr:blipFill>
        <a:blip xmlns:r="http://schemas.openxmlformats.org/officeDocument/2006/relationships" r:embed="rId1"/>
        <a:stretch>
          <a:fillRect/>
        </a:stretch>
      </xdr:blipFill>
      <xdr:spPr>
        <a:xfrm>
          <a:off x="7941469" y="3048001"/>
          <a:ext cx="1333500" cy="1352664"/>
        </a:xfrm>
        <a:prstGeom prst="rect">
          <a:avLst/>
        </a:prstGeom>
      </xdr:spPr>
    </xdr:pic>
    <xdr:clientData/>
  </xdr:twoCellAnchor>
  <xdr:twoCellAnchor>
    <xdr:from>
      <xdr:col>1</xdr:col>
      <xdr:colOff>1</xdr:colOff>
      <xdr:row>9</xdr:row>
      <xdr:rowOff>130969</xdr:rowOff>
    </xdr:from>
    <xdr:to>
      <xdr:col>4</xdr:col>
      <xdr:colOff>357189</xdr:colOff>
      <xdr:row>21</xdr:row>
      <xdr:rowOff>59531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488157</xdr:colOff>
      <xdr:row>9</xdr:row>
      <xdr:rowOff>130970</xdr:rowOff>
    </xdr:from>
    <xdr:to>
      <xdr:col>8</xdr:col>
      <xdr:colOff>559595</xdr:colOff>
      <xdr:row>21</xdr:row>
      <xdr:rowOff>35720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690562</xdr:colOff>
      <xdr:row>9</xdr:row>
      <xdr:rowOff>142875</xdr:rowOff>
    </xdr:from>
    <xdr:to>
      <xdr:col>14</xdr:col>
      <xdr:colOff>845343</xdr:colOff>
      <xdr:row>21</xdr:row>
      <xdr:rowOff>11906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14286</xdr:colOff>
      <xdr:row>7</xdr:row>
      <xdr:rowOff>92869</xdr:rowOff>
    </xdr:from>
    <xdr:to>
      <xdr:col>3</xdr:col>
      <xdr:colOff>59530</xdr:colOff>
      <xdr:row>17</xdr:row>
      <xdr:rowOff>83344</xdr:rowOff>
    </xdr:to>
    <mc:AlternateContent xmlns:mc="http://schemas.openxmlformats.org/markup-compatibility/2006" xmlns:a14="http://schemas.microsoft.com/office/drawing/2010/main">
      <mc:Choice Requires="a14">
        <xdr:graphicFrame macro="">
          <xdr:nvGraphicFramePr>
            <xdr:cNvPr id="5" name="NadlezniOrgan"/>
            <xdr:cNvGraphicFramePr/>
          </xdr:nvGraphicFramePr>
          <xdr:xfrm>
            <a:off x="0" y="0"/>
            <a:ext cx="0" cy="0"/>
          </xdr:xfrm>
          <a:graphic>
            <a:graphicData uri="http://schemas.microsoft.com/office/drawing/2010/slicer">
              <sle:slicer xmlns:sle="http://schemas.microsoft.com/office/drawing/2010/slicer" name="NadlezniOrgan"/>
            </a:graphicData>
          </a:graphic>
        </xdr:graphicFrame>
      </mc:Choice>
      <mc:Fallback xmlns="">
        <xdr:sp macro="" textlink="">
          <xdr:nvSpPr>
            <xdr:cNvPr id="0" name=""/>
            <xdr:cNvSpPr>
              <a:spLocks noTextEdit="1"/>
            </xdr:cNvSpPr>
          </xdr:nvSpPr>
          <xdr:spPr>
            <a:xfrm>
              <a:off x="192880" y="1426369"/>
              <a:ext cx="2474119"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738187</xdr:colOff>
      <xdr:row>7</xdr:row>
      <xdr:rowOff>91168</xdr:rowOff>
    </xdr:from>
    <xdr:to>
      <xdr:col>4</xdr:col>
      <xdr:colOff>40822</xdr:colOff>
      <xdr:row>9</xdr:row>
      <xdr:rowOff>119063</xdr:rowOff>
    </xdr:to>
    <xdr:sp macro="" textlink="">
      <xdr:nvSpPr>
        <xdr:cNvPr id="2" name="Left Arrow 1"/>
        <xdr:cNvSpPr/>
      </xdr:nvSpPr>
      <xdr:spPr>
        <a:xfrm>
          <a:off x="2536031" y="1996168"/>
          <a:ext cx="921885"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736811</xdr:colOff>
      <xdr:row>14</xdr:row>
      <xdr:rowOff>178594</xdr:rowOff>
    </xdr:from>
    <xdr:to>
      <xdr:col>4</xdr:col>
      <xdr:colOff>51028</xdr:colOff>
      <xdr:row>17</xdr:row>
      <xdr:rowOff>28575</xdr:rowOff>
    </xdr:to>
    <xdr:sp macro="" textlink="">
      <xdr:nvSpPr>
        <xdr:cNvPr id="4" name="Left Arrow 3"/>
        <xdr:cNvSpPr/>
      </xdr:nvSpPr>
      <xdr:spPr>
        <a:xfrm>
          <a:off x="2534655" y="3417094"/>
          <a:ext cx="933467"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26192</xdr:colOff>
      <xdr:row>7</xdr:row>
      <xdr:rowOff>176213</xdr:rowOff>
    </xdr:from>
    <xdr:to>
      <xdr:col>15</xdr:col>
      <xdr:colOff>154781</xdr:colOff>
      <xdr:row>17</xdr:row>
      <xdr:rowOff>59531</xdr:rowOff>
    </xdr:to>
    <mc:AlternateContent xmlns:mc="http://schemas.openxmlformats.org/markup-compatibility/2006" xmlns:a14="http://schemas.microsoft.com/office/drawing/2010/main">
      <mc:Choice Requires="a14">
        <xdr:graphicFrame macro="">
          <xdr:nvGraphicFramePr>
            <xdr:cNvPr id="6" name="NadlezniOrgan 1"/>
            <xdr:cNvGraphicFramePr/>
          </xdr:nvGraphicFramePr>
          <xdr:xfrm>
            <a:off x="0" y="0"/>
            <a:ext cx="0" cy="0"/>
          </xdr:xfrm>
          <a:graphic>
            <a:graphicData uri="http://schemas.microsoft.com/office/drawing/2010/slicer">
              <sle:slicer xmlns:sle="http://schemas.microsoft.com/office/drawing/2010/slicer" name="NadlezniOrgan 1"/>
            </a:graphicData>
          </a:graphic>
        </xdr:graphicFrame>
      </mc:Choice>
      <mc:Fallback xmlns="">
        <xdr:sp macro="" textlink="">
          <xdr:nvSpPr>
            <xdr:cNvPr id="0" name=""/>
            <xdr:cNvSpPr>
              <a:spLocks noTextEdit="1"/>
            </xdr:cNvSpPr>
          </xdr:nvSpPr>
          <xdr:spPr>
            <a:xfrm>
              <a:off x="10122692" y="1509713"/>
              <a:ext cx="2628902" cy="1788318"/>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15</xdr:col>
      <xdr:colOff>107156</xdr:colOff>
      <xdr:row>7</xdr:row>
      <xdr:rowOff>130968</xdr:rowOff>
    </xdr:from>
    <xdr:to>
      <xdr:col>16</xdr:col>
      <xdr:colOff>28916</xdr:colOff>
      <xdr:row>9</xdr:row>
      <xdr:rowOff>158863</xdr:rowOff>
    </xdr:to>
    <xdr:sp macro="" textlink="">
      <xdr:nvSpPr>
        <xdr:cNvPr id="7" name="Left Arrow 6"/>
        <xdr:cNvSpPr/>
      </xdr:nvSpPr>
      <xdr:spPr>
        <a:xfrm>
          <a:off x="12703969" y="2035968"/>
          <a:ext cx="921885"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142875</xdr:colOff>
      <xdr:row>15</xdr:row>
      <xdr:rowOff>35719</xdr:rowOff>
    </xdr:from>
    <xdr:to>
      <xdr:col>16</xdr:col>
      <xdr:colOff>76217</xdr:colOff>
      <xdr:row>17</xdr:row>
      <xdr:rowOff>76200</xdr:rowOff>
    </xdr:to>
    <xdr:sp macro="" textlink="">
      <xdr:nvSpPr>
        <xdr:cNvPr id="8" name="Left Arrow 7"/>
        <xdr:cNvSpPr/>
      </xdr:nvSpPr>
      <xdr:spPr>
        <a:xfrm>
          <a:off x="12739688" y="3464719"/>
          <a:ext cx="933467"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452438</xdr:colOff>
      <xdr:row>10</xdr:row>
      <xdr:rowOff>59532</xdr:rowOff>
    </xdr:from>
    <xdr:to>
      <xdr:col>10</xdr:col>
      <xdr:colOff>620451</xdr:colOff>
      <xdr:row>20</xdr:row>
      <xdr:rowOff>112408</xdr:rowOff>
    </xdr:to>
    <xdr:pic>
      <xdr:nvPicPr>
        <xdr:cNvPr id="2" name="Picture 1"/>
        <xdr:cNvPicPr>
          <a:picLocks noChangeAspect="1"/>
        </xdr:cNvPicPr>
      </xdr:nvPicPr>
      <xdr:blipFill>
        <a:blip xmlns:r="http://schemas.openxmlformats.org/officeDocument/2006/relationships" r:embed="rId1"/>
        <a:stretch>
          <a:fillRect/>
        </a:stretch>
      </xdr:blipFill>
      <xdr:spPr>
        <a:xfrm>
          <a:off x="8572501" y="2917032"/>
          <a:ext cx="1930138" cy="1957876"/>
        </a:xfrm>
        <a:prstGeom prst="rect">
          <a:avLst/>
        </a:prstGeom>
      </xdr:spPr>
    </xdr:pic>
    <xdr:clientData/>
  </xdr:twoCellAnchor>
  <xdr:twoCellAnchor>
    <xdr:from>
      <xdr:col>1</xdr:col>
      <xdr:colOff>23813</xdr:colOff>
      <xdr:row>9</xdr:row>
      <xdr:rowOff>142876</xdr:rowOff>
    </xdr:from>
    <xdr:to>
      <xdr:col>3</xdr:col>
      <xdr:colOff>797720</xdr:colOff>
      <xdr:row>21</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83344</xdr:colOff>
      <xdr:row>9</xdr:row>
      <xdr:rowOff>154780</xdr:rowOff>
    </xdr:from>
    <xdr:to>
      <xdr:col>8</xdr:col>
      <xdr:colOff>273843</xdr:colOff>
      <xdr:row>21</xdr:row>
      <xdr:rowOff>35719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11905</xdr:colOff>
      <xdr:row>9</xdr:row>
      <xdr:rowOff>154783</xdr:rowOff>
    </xdr:from>
    <xdr:to>
      <xdr:col>14</xdr:col>
      <xdr:colOff>845343</xdr:colOff>
      <xdr:row>21</xdr:row>
      <xdr:rowOff>83345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142875</xdr:colOff>
      <xdr:row>8</xdr:row>
      <xdr:rowOff>104776</xdr:rowOff>
    </xdr:from>
    <xdr:to>
      <xdr:col>14</xdr:col>
      <xdr:colOff>226219</xdr:colOff>
      <xdr:row>18</xdr:row>
      <xdr:rowOff>59531</xdr:rowOff>
    </xdr:to>
    <mc:AlternateContent xmlns:mc="http://schemas.openxmlformats.org/markup-compatibility/2006" xmlns:a14="http://schemas.microsoft.com/office/drawing/2010/main">
      <mc:Choice Requires="a14">
        <xdr:graphicFrame macro="">
          <xdr:nvGraphicFramePr>
            <xdr:cNvPr id="6" name="Усаглашени захтеви"/>
            <xdr:cNvGraphicFramePr/>
          </xdr:nvGraphicFramePr>
          <xdr:xfrm>
            <a:off x="0" y="0"/>
            <a:ext cx="0" cy="0"/>
          </xdr:xfrm>
          <a:graphic>
            <a:graphicData uri="http://schemas.microsoft.com/office/drawing/2010/slicer">
              <sle:slicer xmlns:sle="http://schemas.microsoft.com/office/drawing/2010/slicer" name="Усаглашени захтеви"/>
            </a:graphicData>
          </a:graphic>
        </xdr:graphicFrame>
      </mc:Choice>
      <mc:Fallback xmlns="">
        <xdr:sp macro="" textlink="">
          <xdr:nvSpPr>
            <xdr:cNvPr id="0" name=""/>
            <xdr:cNvSpPr>
              <a:spLocks noTextEdit="1"/>
            </xdr:cNvSpPr>
          </xdr:nvSpPr>
          <xdr:spPr>
            <a:xfrm>
              <a:off x="11096625" y="1628776"/>
              <a:ext cx="2476500" cy="185975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14</xdr:col>
      <xdr:colOff>38100</xdr:colOff>
      <xdr:row>8</xdr:row>
      <xdr:rowOff>91168</xdr:rowOff>
    </xdr:from>
    <xdr:to>
      <xdr:col>15</xdr:col>
      <xdr:colOff>40822</xdr:colOff>
      <xdr:row>10</xdr:row>
      <xdr:rowOff>119063</xdr:rowOff>
    </xdr:to>
    <xdr:sp macro="" textlink="">
      <xdr:nvSpPr>
        <xdr:cNvPr id="4" name="Left Arrow 3"/>
        <xdr:cNvSpPr/>
      </xdr:nvSpPr>
      <xdr:spPr>
        <a:xfrm>
          <a:off x="2276475" y="1615168"/>
          <a:ext cx="931410"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38100</xdr:colOff>
      <xdr:row>15</xdr:row>
      <xdr:rowOff>178594</xdr:rowOff>
    </xdr:from>
    <xdr:to>
      <xdr:col>15</xdr:col>
      <xdr:colOff>51028</xdr:colOff>
      <xdr:row>18</xdr:row>
      <xdr:rowOff>28575</xdr:rowOff>
    </xdr:to>
    <xdr:sp macro="" textlink="">
      <xdr:nvSpPr>
        <xdr:cNvPr id="5" name="Left Arrow 4"/>
        <xdr:cNvSpPr/>
      </xdr:nvSpPr>
      <xdr:spPr>
        <a:xfrm>
          <a:off x="2276475" y="3036094"/>
          <a:ext cx="941616"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14287</xdr:colOff>
      <xdr:row>8</xdr:row>
      <xdr:rowOff>45245</xdr:rowOff>
    </xdr:from>
    <xdr:to>
      <xdr:col>2</xdr:col>
      <xdr:colOff>95250</xdr:colOff>
      <xdr:row>18</xdr:row>
      <xdr:rowOff>71439</xdr:rowOff>
    </xdr:to>
    <mc:AlternateContent xmlns:mc="http://schemas.openxmlformats.org/markup-compatibility/2006" xmlns:a14="http://schemas.microsoft.com/office/drawing/2010/main">
      <mc:Choice Requires="a14">
        <xdr:graphicFrame macro="">
          <xdr:nvGraphicFramePr>
            <xdr:cNvPr id="7" name="NadlezniOrgan 2"/>
            <xdr:cNvGraphicFramePr/>
          </xdr:nvGraphicFramePr>
          <xdr:xfrm>
            <a:off x="0" y="0"/>
            <a:ext cx="0" cy="0"/>
          </xdr:xfrm>
          <a:graphic>
            <a:graphicData uri="http://schemas.microsoft.com/office/drawing/2010/slicer">
              <sle:slicer xmlns:sle="http://schemas.microsoft.com/office/drawing/2010/slicer" name="NadlezniOrgan 2"/>
            </a:graphicData>
          </a:graphic>
        </xdr:graphicFrame>
      </mc:Choice>
      <mc:Fallback xmlns="">
        <xdr:sp macro="" textlink="">
          <xdr:nvSpPr>
            <xdr:cNvPr id="0" name=""/>
            <xdr:cNvSpPr>
              <a:spLocks noTextEdit="1"/>
            </xdr:cNvSpPr>
          </xdr:nvSpPr>
          <xdr:spPr>
            <a:xfrm>
              <a:off x="180975" y="1569245"/>
              <a:ext cx="2152650" cy="1931194"/>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xdr:from>
      <xdr:col>2</xdr:col>
      <xdr:colOff>38100</xdr:colOff>
      <xdr:row>8</xdr:row>
      <xdr:rowOff>91168</xdr:rowOff>
    </xdr:from>
    <xdr:to>
      <xdr:col>3</xdr:col>
      <xdr:colOff>40822</xdr:colOff>
      <xdr:row>10</xdr:row>
      <xdr:rowOff>119063</xdr:rowOff>
    </xdr:to>
    <xdr:sp macro="" textlink="">
      <xdr:nvSpPr>
        <xdr:cNvPr id="2" name="Left Arrow 1"/>
        <xdr:cNvSpPr/>
      </xdr:nvSpPr>
      <xdr:spPr>
        <a:xfrm>
          <a:off x="2743200" y="1615168"/>
          <a:ext cx="926647" cy="408895"/>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38100</xdr:colOff>
      <xdr:row>15</xdr:row>
      <xdr:rowOff>178594</xdr:rowOff>
    </xdr:from>
    <xdr:to>
      <xdr:col>3</xdr:col>
      <xdr:colOff>51028</xdr:colOff>
      <xdr:row>18</xdr:row>
      <xdr:rowOff>28575</xdr:rowOff>
    </xdr:to>
    <xdr:sp macro="" textlink="">
      <xdr:nvSpPr>
        <xdr:cNvPr id="3" name="Left Arrow 2"/>
        <xdr:cNvSpPr/>
      </xdr:nvSpPr>
      <xdr:spPr>
        <a:xfrm>
          <a:off x="2743200" y="3036094"/>
          <a:ext cx="936853" cy="421481"/>
        </a:xfrm>
        <a:prstGeom prst="leftArrow">
          <a:avLst/>
        </a:prstGeom>
        <a:solidFill>
          <a:schemeClr val="accent1">
            <a:lumMod val="20000"/>
            <a:lumOff val="80000"/>
          </a:schemeClr>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Milica Anđelković" refreshedDate="43110.518575810187" createdVersion="4" refreshedVersion="4" minRefreshableVersion="3" recordCount="638">
  <cacheSource type="worksheet">
    <worksheetSource ref="A2:G640" sheet="Градови - радна верзија"/>
  </cacheSource>
  <cacheFields count="12">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16">
        <s v="Достављање техничке документације у погледу мера заштите од пожара"/>
        <s v="Подношење жалбе/приговора"/>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привремене грађевинске дозволе"/>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Достављања пројекта за извођење за објекте из члана 133. за које су предвиђене мере заштите културних добара"/>
        <s v="Контрола активности на предмету - Регистратор"/>
        <s v="Замена решења по жалби/приговору"/>
      </sharedItems>
    </cacheField>
    <cacheField name="BrPodnetihPrijava" numFmtId="0">
      <sharedItems containsSemiMixedTypes="0" containsString="0" containsNumber="1" containsInteger="1" minValue="1" maxValue="1507"/>
    </cacheField>
    <cacheField name="BrResenihPrijava" numFmtId="0">
      <sharedItems containsSemiMixedTypes="0" containsString="0" containsNumber="1" containsInteger="1" minValue="0" maxValue="1245"/>
    </cacheField>
    <cacheField name="BrPozitivnoResenihPrijava" numFmtId="0">
      <sharedItems containsSemiMixedTypes="0" containsString="0" containsNumber="1" containsInteger="1" minValue="0" maxValue="808"/>
    </cacheField>
    <cacheField name="BrNegativnoResenihPrijava" numFmtId="0">
      <sharedItems containsSemiMixedTypes="0" containsString="0" containsNumber="1" containsInteger="1" minValue="0" maxValue="516"/>
    </cacheField>
    <cacheField name="BrObustavljenihPrijava" numFmtId="0">
      <sharedItems containsSemiMixedTypes="0" containsString="0" containsNumber="1" containsInteger="1" minValue="0" maxValue="19"/>
    </cacheField>
    <cacheField name="% решених захтева" numFmtId="0" formula="BrResenihPrijava/BrPodnetihPrijava" databaseField="0"/>
    <cacheField name="% позитивно решених захтева" numFmtId="0" formula="BrPozitivnoResenihPrijava/BrResenihPrijava" databaseField="0"/>
    <cacheField name="% негативно решених захтева" numFmtId="0" formula="BrNegativnoResenihPrijava/BrResenihPrijava" databaseField="0"/>
    <cacheField name="% захтева чија је обрада у току" numFmtId="0" formula=" (BrPodnetihPrijava-BrResenihPrijava-BrObustavljenihPrijava)/BrPodnetihPrijava" databaseField="0"/>
    <cacheField name="Просечни проценат успешности" numFmtId="0" formula=" ('% решених захтева'+'% позитивно решених захтева')/2" databaseField="0"/>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Milica Anđelković" refreshedDate="43110.522071874999" createdVersion="4" refreshedVersion="4" minRefreshableVersion="3" recordCount="243">
  <cacheSource type="worksheet">
    <worksheetSource ref="A647:G890" sheet="Градови - радна верзија"/>
  </cacheSource>
  <cacheFields count="7">
    <cacheField name="NadlezniOrgan" numFmtId="0">
      <sharedItems count="26">
        <s v="ГРАД БЕОГРАД"/>
        <s v="ГРАД ВАЉЕВО"/>
        <s v="ГРАД ВРАЊЕ"/>
        <s v="ГРАД ВРШАЦ"/>
        <s v="ГРАД ЗАЈЕЧАР"/>
        <s v="ГРАД ЗРЕЊАНИН"/>
        <s v="ГРАД ЈАГОДИНА"/>
        <s v="ГРАД КИКИНДА"/>
        <s v="ГРАД КРАГУЈЕВАЦ"/>
        <s v="ГРАД КРАЉЕВО"/>
        <s v="ГРАД КРУШЕВАЦ"/>
        <s v="ГРАД ЛЕСКОВАЦ"/>
        <s v="ГРАД ЛОЗНИЦА"/>
        <s v="ГРАД НИШ"/>
        <s v="ГРАД НОВИ ПАЗАР"/>
        <s v="ГРАД НОВИ САД"/>
        <s v="ГРАД ПАНЧЕВО"/>
        <s v="ГРАД ПИРОТ"/>
        <s v="ГРАД ПОЖАРЕВАЦ"/>
        <s v="ГРАД СМЕДЕРЕВО"/>
        <s v="ГРАД СОМБОР"/>
        <s v="ГРАД СРЕМСКА МИТРОВИЦА"/>
        <s v="ГРАД СУБОТИЦА"/>
        <s v="ГРАД УЖИЦЕ"/>
        <s v="ГРАД ЧАЧАК"/>
        <s v="ГРАД ШАБАЦ"/>
      </sharedItems>
    </cacheField>
    <cacheField name="TipPostupka"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локацијских услова"/>
        <s v="Подношење усаглашеног захтева за издавање/измену привремене грађевинске дозволе"/>
        <s v="Подношење усаглашеног захтева за издавање/измену решења о одобрењу извођења радова "/>
      </sharedItems>
    </cacheField>
    <cacheField name="BrPodnetihPrijava" numFmtId="0">
      <sharedItems containsSemiMixedTypes="0" containsString="0" containsNumber="1" containsInteger="1" minValue="1" maxValue="606"/>
    </cacheField>
    <cacheField name="BrResenihPrijava" numFmtId="0">
      <sharedItems containsSemiMixedTypes="0" containsString="0" containsNumber="1" containsInteger="1" minValue="0" maxValue="525"/>
    </cacheField>
    <cacheField name="BrPozitivnoResenihPrijava" numFmtId="0">
      <sharedItems containsSemiMixedTypes="0" containsString="0" containsNumber="1" containsInteger="1" minValue="0" maxValue="269"/>
    </cacheField>
    <cacheField name="BrNegativnoResenihPrijava" numFmtId="0">
      <sharedItems containsSemiMixedTypes="0" containsString="0" containsNumber="1" containsInteger="1" minValue="0" maxValue="256"/>
    </cacheField>
    <cacheField name="BrObustavljenihPrijava" numFmtId="0">
      <sharedItems containsSemiMixedTypes="0" containsString="0" containsNumber="1" containsInteger="1" minValue="0" maxValue="6"/>
    </cacheField>
  </cacheFields>
  <extLst>
    <ext xmlns:x14="http://schemas.microsoft.com/office/spreadsheetml/2009/9/main" uri="{725AE2AE-9491-48be-B2B4-4EB974FC3084}">
      <x14:pivotCacheDefinition pivotCacheId="2"/>
    </ext>
  </extLst>
</pivotCacheDefinition>
</file>

<file path=xl/pivotCache/pivotCacheDefinition3.xml><?xml version="1.0" encoding="utf-8"?>
<pivotCacheDefinition xmlns="http://schemas.openxmlformats.org/spreadsheetml/2006/main" xmlns:r="http://schemas.openxmlformats.org/officeDocument/2006/relationships" r:id="rId1" refreshedBy="Milica Anđelković" refreshedDate="43112.620051851853" createdVersion="4" refreshedVersion="4" minRefreshableVersion="3" recordCount="2750">
  <cacheSource type="worksheet">
    <worksheetSource ref="A2:G2752" sheet="Општине - радна верзија"/>
  </cacheSource>
  <cacheFields count="12">
    <cacheField name="NadlezniOrgan"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АГУБИЦА"/>
        <s v="ОПШТИНА ЖИТИШТЕ"/>
        <s v="ОПШТИНА ЖИТОРАЂА"/>
        <s v="ОПШТИНА ИВАЊИЦА"/>
        <s v="ОПШТИНА ИНЂИЈА"/>
        <s v="ОПШТИНА ИРИГ"/>
        <s v="ОПШТИНА КАЊИЖА"/>
        <s v="ОПШТИНА КЛАДОВО"/>
        <s v="ОПШТИНА КНИЋ"/>
        <s v="ОПШТИНА КЊАЖЕВАЦ"/>
        <s v="ОПШТИНА КОВАЧИЦА"/>
        <s v="ОПШТИНА КОВИН"/>
        <s v="ОПШТИНА КОСЈЕРИЋ"/>
        <s v="ОПШТИНА КОЦЕЉЕВА"/>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ЗВОРНИ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17">
        <s v="Достављање техничке документације у погледу мера заштите од пожара"/>
        <s v="Замена решења по жалби/приговору"/>
        <s v="Подношење захтева за издавање употребне дозволе"/>
        <s v="Подношење захтева за издавање/измену грађевинске дозволе"/>
        <s v="Подношење захтева за издавање/измену локацијских услова"/>
        <s v="Подношење захтева за издавање/измену решења о одобрењу извођења радова (члан 145. Закона о планирању и изградњи)"/>
        <s v="Подношење захтева за остале поступке (одустанак, клаузула правноснажности, исправка техничке грешке и сл.)"/>
        <s v="Подношење захтева за прикључење на комуналну и другу инфраструктуру"/>
        <s v="Подношење пријаве завршетка израде темеља"/>
        <s v="Подношење пријаве завршетка објекта у конструктивном смислу"/>
        <s v="Подношење пријаве радова"/>
        <s v="Упис права својине и издавање решења о кућном броју"/>
        <s v="Подношење жалбе/приговора"/>
        <s v="Подношење захтева за издавање/измену привремене грађевинске дозволе"/>
        <s v="Достављања пројекта за извођење за објекте из члана 133. за које су предвиђене мере заштите културних добара"/>
        <s v="Креирање захтева за покретање прекршајног поступка - Регистратор"/>
        <s v="Контрола активности на предмету - Регистратор"/>
      </sharedItems>
    </cacheField>
    <cacheField name="BrPodnetihPrijava" numFmtId="0">
      <sharedItems containsSemiMixedTypes="0" containsString="0" containsNumber="1" containsInteger="1" minValue="1" maxValue="287"/>
    </cacheField>
    <cacheField name="BrResenihPrijava" numFmtId="0">
      <sharedItems containsSemiMixedTypes="0" containsString="0" containsNumber="1" containsInteger="1" minValue="0" maxValue="284"/>
    </cacheField>
    <cacheField name="BrPozitivnoResenihPrijava" numFmtId="0">
      <sharedItems containsSemiMixedTypes="0" containsString="0" containsNumber="1" containsInteger="1" minValue="0" maxValue="241"/>
    </cacheField>
    <cacheField name="BrNegativnoResenihPrijava" numFmtId="0">
      <sharedItems containsSemiMixedTypes="0" containsString="0" containsNumber="1" containsInteger="1" minValue="0" maxValue="158"/>
    </cacheField>
    <cacheField name="BrObustavljenihPrijava" numFmtId="0">
      <sharedItems containsSemiMixedTypes="0" containsString="0" containsNumber="1" containsInteger="1" minValue="0" maxValue="34"/>
    </cacheField>
    <cacheField name="% решених захтева" numFmtId="0" formula="BrResenihPrijava/BrPodnetihPrijava" databaseField="0"/>
    <cacheField name="% позитивно решених" numFmtId="0" formula="BrPozitivnoResenihPrijava/BrResenihPrijava" databaseField="0"/>
    <cacheField name="% негативно решених захтева" numFmtId="0" formula="BrNegativnoResenihPrijava/BrResenihPrijava" databaseField="0"/>
    <cacheField name="% захтева чија је обрада у току" numFmtId="0" formula=" (BrPodnetihPrijava-BrResenihPrijava-BrObustavljenihPrijava)/BrPodnetihPrijava" databaseField="0"/>
    <cacheField name="Просечан проценат успешности" numFmtId="0" formula=" ('% решених захтева'+'% позитивно решених')/2" databaseField="0"/>
  </cacheFields>
  <extLst>
    <ext xmlns:x14="http://schemas.microsoft.com/office/spreadsheetml/2009/9/main" uri="{725AE2AE-9491-48be-B2B4-4EB974FC3084}">
      <x14:pivotCacheDefinition pivotCacheId="4"/>
    </ext>
  </extLst>
</pivotCacheDefinition>
</file>

<file path=xl/pivotCache/pivotCacheDefinition4.xml><?xml version="1.0" encoding="utf-8"?>
<pivotCacheDefinition xmlns="http://schemas.openxmlformats.org/spreadsheetml/2006/main" xmlns:r="http://schemas.openxmlformats.org/officeDocument/2006/relationships" r:id="rId1" refreshedBy="Milica Anđelković" refreshedDate="43112.626846412037" createdVersion="4" refreshedVersion="4" minRefreshableVersion="3" recordCount="969">
  <cacheSource type="worksheet">
    <worksheetSource ref="A2771:G3740" sheet="Општине - радна верзија"/>
  </cacheSource>
  <cacheFields count="7">
    <cacheField name="Усаглашени захтеви" numFmtId="0">
      <sharedItems count="136">
        <s v="ГРАДСКА ОПШТИНА БАРАЈЕВО"/>
        <s v="ГРАДСКА ОПШТИНА ВОЖДОВАЦ"/>
        <s v="ГРАДСКА ОПШТИНА ВРАЧАР"/>
        <s v="ГРАДСКА ОПШТИНА ГРОЦКА"/>
        <s v="ГРАДСКА ОПШТИНА ЗВЕЗДАРА"/>
        <s v="ГРАДСКА ОПШТИНА ЗЕМУН"/>
        <s v="ГРАДСКА ОПШТИНА ЛАЗАРЕВАЦ"/>
        <s v="ГРАДСКА ОПШТИНА МЛАДЕНОВАЦ"/>
        <s v="ГРАДСКА ОПШТИНА НОВИ БЕОГРАД"/>
        <s v="ГРАДСКА ОПШТИНА ОБРЕНОВАЦ"/>
        <s v="ГРАДСКА ОПШТИНА ПАЛИЛУЛА"/>
        <s v="ГРАДСКА ОПШТИНА РАКОВИЦА"/>
        <s v="ГРАДСКА ОПШТИНА САВСКИ ВЕНАЦ"/>
        <s v="ГРАДСКА ОПШТИНА СОПОТ"/>
        <s v="ГРАДСКА ОПШТИНА СТАРИ ГРАД"/>
        <s v="ГРАДСКА ОПШТИНА СУРЧИН"/>
        <s v="ГРАДСКА ОПШТИНА ЧУКАРИЦА"/>
        <s v="ОПШТИНА АДА"/>
        <s v="ОПШТИНА АЛЕКСАНДРОВАЦ"/>
        <s v="ОПШТИНА АЛЕКСИНАЦ"/>
        <s v="ОПШТИНА АЛИБУНАР"/>
        <s v="ОПШТИНА АПАТИН"/>
        <s v="ОПШТИНА АРАНЂЕЛОВАЦ"/>
        <s v="ОПШТИНА АРИЉЕ"/>
        <s v="ОПШТИНА БАБУШНИЦА"/>
        <s v="ОПШТИНА БАЈИНА БАШТА"/>
        <s v="ОПШТИНА БАТОЧИНА"/>
        <s v="ОПШТИНА БАЧ"/>
        <s v="ОПШТИНА БАЧКА ПАЛАНКА"/>
        <s v="ОПШТИНА БАЧКА ТОПОЛА"/>
        <s v="ОПШТИНА БАЧКИ ПЕТРОВАЦ"/>
        <s v="ОПШТИНА БЕЛА ПАЛАНКА"/>
        <s v="ОПШТИНА БЕЛА ЦРКВА"/>
        <s v="ОПШТИНА БЕОЧИН"/>
        <s v="ОПШТИНА БЕЧЕЈ"/>
        <s v="ОПШТИНА БЛАЦЕ"/>
        <s v="ОПШТИНА БОГАТИЋ"/>
        <s v="ОПШТИНА БОЈНИК"/>
        <s v="ОПШТИНА БОЉЕВАЦ"/>
        <s v="ОПШТИНА БОР"/>
        <s v="ОПШТИНА БОСИЛЕГРАД"/>
        <s v="ОПШТИНА БРУС"/>
        <s v="ОПШТИНА БУЈАНОВАЦ"/>
        <s v="ОПШТИНА ВАРВАРИН"/>
        <s v="ОПШТИНА ВЕЛИКА ПЛАНА"/>
        <s v="ОПШТИНА ВЕЛИКО ГРАДИШТЕ"/>
        <s v="ОПШТИНА ВЛАДИМИРЦИ"/>
        <s v="ОПШТИНА ВЛАДИЧИН ХАН"/>
        <s v="ОПШТИНА ВЛАСОТИНЦЕ"/>
        <s v="ОПШТИНА ВРБАС"/>
        <s v="ОПШТИНА ВРЊАЧКА БАЊА"/>
        <s v="ОПШТИНА ГАЏИН ХАН"/>
        <s v="ОПШТИНА ГОЛУБАЦ"/>
        <s v="ОПШТИНА ГОРЊИ МИЛАНОВАЦ"/>
        <s v="ОПШТИНА ДЕСПОТОВАЦ"/>
        <s v="ОПШТИНА ДИМИТРОВГРАД"/>
        <s v="ОПШТИНА ДОЉЕВАЦ"/>
        <s v="ОПШТИНА ЖАБАЉ"/>
        <s v="ОПШТИНА ЖАБАРИ"/>
        <s v="ОПШТИНА ЖИТИШТЕ"/>
        <s v="ОПШТИНА ЖИТОРАЂА"/>
        <s v="ОПШТИНА ИВАЊИЦА"/>
        <s v="ОПШТИНА ИНЂИЈА"/>
        <s v="ОПШТИНА ИРИГ"/>
        <s v="ОПШТИНА ЖАГУБИЦА"/>
        <s v="ОПШТИНА КАЊИЖА"/>
        <s v="ОПШТИНА КЛАДОВО"/>
        <s v="ОПШТИНА КНИЋ"/>
        <s v="ОПШТИНА КЊАЖЕВАЦ"/>
        <s v="ОПШТИНА КОВАЧИЦА"/>
        <s v="ОПШТИНА КОВИН"/>
        <s v="ОПШТИНА КОСЈЕРИЋ"/>
        <s v="ОПШТИНА КРУПАЊ"/>
        <s v="ОПШТИНА КУЛА"/>
        <s v="ОПШТИНА КУРШУМЛИЈА"/>
        <s v="ОПШТИНА КУЧЕВО"/>
        <s v="ОПШТИНА ЛАЈКОВАЦ"/>
        <s v="ОПШТИНА ЛАПОВО"/>
        <s v="ОПШТИНА ЛЕБАНЕ"/>
        <s v="ОПШТИНА ЛУЧАНИ"/>
        <s v="ОПШТИНА ЉИГ"/>
        <s v="ОПШТИНА ЉУБОВИЈА"/>
        <s v="ОПШТИНА МАЈДАНПЕК"/>
        <s v="ОПШТИНА МАЛИ ИЂОШ"/>
        <s v="ОПШТИНА МАЛО ЦРНИЋЕ"/>
        <s v="ОПШТИНА МЕДВЕЂА"/>
        <s v="ОПШТИНА МЕРОШИНА"/>
        <s v="ОПШТИНА МИОНИЦА"/>
        <s v="ОПШТИНА НЕГОТИН"/>
        <s v="ОПШТИНА НОВА ВАРОШ"/>
        <s v="ОПШТИНА НОВА ЦРЊА"/>
        <s v="ОПШТИНА НОВИ БЕЧЕЈ"/>
        <s v="ОПШТИНА НОВИ КНЕЖЕВАЦ"/>
        <s v="ОПШТИНА КОЦЕЉЕВА"/>
        <s v="ОПШТИНА МАЛИ ЗВОРНИК"/>
        <s v="ОПШТИНА ОПОВО"/>
        <s v="ОПШТИНА ОСЕЧИНА"/>
        <s v="ОПШТИНА ОЏАЦИ"/>
        <s v="ОПШТИНА ПАРАЋИН"/>
        <s v="ОПШТИНА ПЕТРОВАЦ НА МЛАВИ"/>
        <s v="ОПШТИНА ПЕЋИНЦИ"/>
        <s v="ОПШТИНА ПЛАНДИШТЕ"/>
        <s v="ОПШТИНА ПОЖЕГА"/>
        <s v="ОПШТИНА ПРЕШЕВО"/>
        <s v="ОПШТИНА ПРИБОЈ"/>
        <s v="ОПШТИНА ПРИЈЕПОЉЕ"/>
        <s v="ОПШТИНА ПРОКУПЉЕ"/>
        <s v="ОПШТИНА РАЖАЊ"/>
        <s v="ОПШТИНА РАЧА"/>
        <s v="ОПШТИНА РАШКА"/>
        <s v="ОПШТИНА РЕКОВАЦ"/>
        <s v="ОПШТИНА РУМА"/>
        <s v="ОПШТИНА СВИЛАЈНАЦ"/>
        <s v="ОПШТИНА СВРЉИГ"/>
        <s v="ОПШТИНА СЕНТА"/>
        <s v="ОПШТИНА СЕЧАЊ"/>
        <s v="ОПШТИНА СЈЕНИЦА"/>
        <s v="ОПШТИНА СМЕДЕРЕВСКА ПАЛАНКА"/>
        <s v="ОПШТИНА СОКОБАЊА"/>
        <s v="ОПШТИНА СРБОБРАН"/>
        <s v="ОПШТИНА СРЕМСКИ КАРЛОВЦИ"/>
        <s v="ОПШТИНА СТАРА ПАЗОВА"/>
        <s v="ОПШТИНА СУРДУЛИЦА"/>
        <s v="ОПШТИНА ТЕМЕРИН"/>
        <s v="ОПШТИНА ТИТЕЛ"/>
        <s v="ОПШТИНА ТОПОЛА"/>
        <s v="ОПШТИНА ТРГОВИШТЕ"/>
        <s v="ОПШТИНА ТРСТЕНИК"/>
        <s v="ОПШТИНА ТУТИН"/>
        <s v="ОПШТИНА ЋИЋЕВАЦ"/>
        <s v="ОПШТИНА ЋУПРИЈА"/>
        <s v="ОПШТИНА УБ"/>
        <s v="ОПШТИНА ЦРНА ТРАВА"/>
        <s v="ОПШТИНА ЧАЈЕТИНА"/>
        <s v="ОПШТИНА ЧОКА"/>
        <s v="ОПШТИНА ШИД"/>
      </sharedItems>
    </cacheField>
    <cacheField name="TipPostupka" numFmtId="0">
      <sharedItems count="6">
        <s v="Достављање техничке документације у погледу мера заштите од пожара на основу усаглашеног захтева"/>
        <s v="Подношење усаглашеног захтева за издавање употребне дозволе"/>
        <s v="Подношење усаглашеног захтева за издавање/измену грађевинске дозволе"/>
        <s v="Подношење усаглашеног захтева за издавање/измену локацијских услова"/>
        <s v="Подношење усаглашеног захтева за издавање/измену решења о одобрењу извођења радова "/>
        <s v="Подношење усаглашеног захтева за издавање/измену привремене грађевинске дозволе"/>
      </sharedItems>
    </cacheField>
    <cacheField name="BrPodnetihPrijava" numFmtId="0">
      <sharedItems containsSemiMixedTypes="0" containsString="0" containsNumber="1" containsInteger="1" minValue="1" maxValue="113"/>
    </cacheField>
    <cacheField name="BrResenihPrijava" numFmtId="0">
      <sharedItems containsSemiMixedTypes="0" containsString="0" containsNumber="1" containsInteger="1" minValue="0" maxValue="112"/>
    </cacheField>
    <cacheField name="BrPozitivnoResenihPrijava" numFmtId="0">
      <sharedItems containsSemiMixedTypes="0" containsString="0" containsNumber="1" containsInteger="1" minValue="0" maxValue="69"/>
    </cacheField>
    <cacheField name="BrNegativnoResenihPrijava" numFmtId="0">
      <sharedItems containsSemiMixedTypes="0" containsString="0" containsNumber="1" containsInteger="1" minValue="0" maxValue="58"/>
    </cacheField>
    <cacheField name="BrObustavljenihPrijava" numFmtId="0">
      <sharedItems containsSemiMixedTypes="0" containsString="0" containsNumber="1" containsInteger="1" minValue="0" maxValue="3"/>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638">
  <r>
    <x v="0"/>
    <x v="0"/>
    <n v="159"/>
    <n v="118"/>
    <n v="99"/>
    <n v="19"/>
    <n v="1"/>
  </r>
  <r>
    <x v="0"/>
    <x v="0"/>
    <n v="123"/>
    <n v="106"/>
    <n v="87"/>
    <n v="19"/>
    <n v="0"/>
  </r>
  <r>
    <x v="0"/>
    <x v="1"/>
    <n v="55"/>
    <n v="0"/>
    <n v="0"/>
    <n v="0"/>
    <n v="1"/>
  </r>
  <r>
    <x v="0"/>
    <x v="1"/>
    <n v="1"/>
    <n v="0"/>
    <n v="0"/>
    <n v="0"/>
    <n v="0"/>
  </r>
  <r>
    <x v="0"/>
    <x v="1"/>
    <n v="6"/>
    <n v="0"/>
    <n v="0"/>
    <n v="0"/>
    <n v="0"/>
  </r>
  <r>
    <x v="0"/>
    <x v="2"/>
    <n v="211"/>
    <n v="176"/>
    <n v="33"/>
    <n v="143"/>
    <n v="0"/>
  </r>
  <r>
    <x v="0"/>
    <x v="2"/>
    <n v="214"/>
    <n v="172"/>
    <n v="109"/>
    <n v="63"/>
    <n v="2"/>
  </r>
  <r>
    <x v="0"/>
    <x v="3"/>
    <n v="411"/>
    <n v="350"/>
    <n v="188"/>
    <n v="162"/>
    <n v="0"/>
  </r>
  <r>
    <x v="0"/>
    <x v="3"/>
    <n v="331"/>
    <n v="296"/>
    <n v="141"/>
    <n v="155"/>
    <n v="4"/>
  </r>
  <r>
    <x v="0"/>
    <x v="4"/>
    <n v="1507"/>
    <n v="1245"/>
    <n v="729"/>
    <n v="516"/>
    <n v="4"/>
  </r>
  <r>
    <x v="0"/>
    <x v="4"/>
    <n v="1083"/>
    <n v="844"/>
    <n v="489"/>
    <n v="355"/>
    <n v="3"/>
  </r>
  <r>
    <x v="0"/>
    <x v="5"/>
    <n v="8"/>
    <n v="8"/>
    <n v="2"/>
    <n v="6"/>
    <n v="0"/>
  </r>
  <r>
    <x v="0"/>
    <x v="5"/>
    <n v="9"/>
    <n v="9"/>
    <n v="7"/>
    <n v="2"/>
    <n v="0"/>
  </r>
  <r>
    <x v="0"/>
    <x v="6"/>
    <n v="447"/>
    <n v="411"/>
    <n v="154"/>
    <n v="257"/>
    <n v="0"/>
  </r>
  <r>
    <x v="0"/>
    <x v="6"/>
    <n v="322"/>
    <n v="281"/>
    <n v="212"/>
    <n v="69"/>
    <n v="0"/>
  </r>
  <r>
    <x v="0"/>
    <x v="7"/>
    <n v="632"/>
    <n v="612"/>
    <n v="610"/>
    <n v="2"/>
    <n v="2"/>
  </r>
  <r>
    <x v="0"/>
    <x v="7"/>
    <n v="379"/>
    <n v="351"/>
    <n v="348"/>
    <n v="3"/>
    <n v="0"/>
  </r>
  <r>
    <x v="0"/>
    <x v="8"/>
    <n v="503"/>
    <n v="420"/>
    <n v="200"/>
    <n v="220"/>
    <n v="1"/>
  </r>
  <r>
    <x v="0"/>
    <x v="8"/>
    <n v="229"/>
    <n v="203"/>
    <n v="78"/>
    <n v="125"/>
    <n v="0"/>
  </r>
  <r>
    <x v="0"/>
    <x v="9"/>
    <n v="246"/>
    <n v="207"/>
    <n v="99"/>
    <n v="108"/>
    <n v="0"/>
  </r>
  <r>
    <x v="0"/>
    <x v="9"/>
    <n v="188"/>
    <n v="171"/>
    <n v="61"/>
    <n v="110"/>
    <n v="0"/>
  </r>
  <r>
    <x v="0"/>
    <x v="10"/>
    <n v="140"/>
    <n v="130"/>
    <n v="114"/>
    <n v="16"/>
    <n v="0"/>
  </r>
  <r>
    <x v="0"/>
    <x v="10"/>
    <n v="56"/>
    <n v="49"/>
    <n v="35"/>
    <n v="14"/>
    <n v="0"/>
  </r>
  <r>
    <x v="0"/>
    <x v="11"/>
    <n v="368"/>
    <n v="351"/>
    <n v="288"/>
    <n v="63"/>
    <n v="1"/>
  </r>
  <r>
    <x v="0"/>
    <x v="11"/>
    <n v="337"/>
    <n v="337"/>
    <n v="225"/>
    <n v="112"/>
    <n v="0"/>
  </r>
  <r>
    <x v="0"/>
    <x v="12"/>
    <n v="82"/>
    <n v="65"/>
    <n v="64"/>
    <n v="1"/>
    <n v="0"/>
  </r>
  <r>
    <x v="0"/>
    <x v="12"/>
    <n v="45"/>
    <n v="13"/>
    <n v="13"/>
    <n v="0"/>
    <n v="1"/>
  </r>
  <r>
    <x v="1"/>
    <x v="13"/>
    <n v="4"/>
    <n v="4"/>
    <n v="4"/>
    <n v="0"/>
    <n v="0"/>
  </r>
  <r>
    <x v="1"/>
    <x v="13"/>
    <n v="1"/>
    <n v="1"/>
    <n v="1"/>
    <n v="0"/>
    <n v="0"/>
  </r>
  <r>
    <x v="1"/>
    <x v="0"/>
    <n v="5"/>
    <n v="4"/>
    <n v="4"/>
    <n v="0"/>
    <n v="1"/>
  </r>
  <r>
    <x v="1"/>
    <x v="0"/>
    <n v="15"/>
    <n v="15"/>
    <n v="15"/>
    <n v="0"/>
    <n v="0"/>
  </r>
  <r>
    <x v="1"/>
    <x v="14"/>
    <n v="1"/>
    <n v="0"/>
    <n v="0"/>
    <n v="0"/>
    <n v="0"/>
  </r>
  <r>
    <x v="1"/>
    <x v="1"/>
    <n v="3"/>
    <n v="0"/>
    <n v="0"/>
    <n v="0"/>
    <n v="0"/>
  </r>
  <r>
    <x v="1"/>
    <x v="1"/>
    <n v="1"/>
    <n v="0"/>
    <n v="0"/>
    <n v="0"/>
    <n v="0"/>
  </r>
  <r>
    <x v="1"/>
    <x v="2"/>
    <n v="124"/>
    <n v="117"/>
    <n v="111"/>
    <n v="6"/>
    <n v="0"/>
  </r>
  <r>
    <x v="1"/>
    <x v="2"/>
    <n v="123"/>
    <n v="121"/>
    <n v="110"/>
    <n v="11"/>
    <n v="0"/>
  </r>
  <r>
    <x v="1"/>
    <x v="3"/>
    <n v="168"/>
    <n v="158"/>
    <n v="132"/>
    <n v="26"/>
    <n v="0"/>
  </r>
  <r>
    <x v="1"/>
    <x v="3"/>
    <n v="136"/>
    <n v="132"/>
    <n v="106"/>
    <n v="26"/>
    <n v="0"/>
  </r>
  <r>
    <x v="1"/>
    <x v="4"/>
    <n v="218"/>
    <n v="206"/>
    <n v="192"/>
    <n v="14"/>
    <n v="0"/>
  </r>
  <r>
    <x v="1"/>
    <x v="4"/>
    <n v="148"/>
    <n v="140"/>
    <n v="132"/>
    <n v="8"/>
    <n v="0"/>
  </r>
  <r>
    <x v="1"/>
    <x v="6"/>
    <n v="142"/>
    <n v="136"/>
    <n v="101"/>
    <n v="35"/>
    <n v="0"/>
  </r>
  <r>
    <x v="1"/>
    <x v="6"/>
    <n v="122"/>
    <n v="114"/>
    <n v="76"/>
    <n v="38"/>
    <n v="0"/>
  </r>
  <r>
    <x v="1"/>
    <x v="7"/>
    <n v="145"/>
    <n v="136"/>
    <n v="136"/>
    <n v="0"/>
    <n v="0"/>
  </r>
  <r>
    <x v="1"/>
    <x v="7"/>
    <n v="73"/>
    <n v="72"/>
    <n v="70"/>
    <n v="2"/>
    <n v="0"/>
  </r>
  <r>
    <x v="1"/>
    <x v="8"/>
    <n v="52"/>
    <n v="50"/>
    <n v="44"/>
    <n v="6"/>
    <n v="0"/>
  </r>
  <r>
    <x v="1"/>
    <x v="8"/>
    <n v="22"/>
    <n v="18"/>
    <n v="12"/>
    <n v="6"/>
    <n v="0"/>
  </r>
  <r>
    <x v="1"/>
    <x v="9"/>
    <n v="70"/>
    <n v="67"/>
    <n v="58"/>
    <n v="9"/>
    <n v="0"/>
  </r>
  <r>
    <x v="1"/>
    <x v="9"/>
    <n v="72"/>
    <n v="71"/>
    <n v="59"/>
    <n v="12"/>
    <n v="0"/>
  </r>
  <r>
    <x v="1"/>
    <x v="10"/>
    <n v="57"/>
    <n v="55"/>
    <n v="51"/>
    <n v="4"/>
    <n v="0"/>
  </r>
  <r>
    <x v="1"/>
    <x v="10"/>
    <n v="38"/>
    <n v="38"/>
    <n v="33"/>
    <n v="5"/>
    <n v="0"/>
  </r>
  <r>
    <x v="1"/>
    <x v="11"/>
    <n v="165"/>
    <n v="163"/>
    <n v="148"/>
    <n v="15"/>
    <n v="0"/>
  </r>
  <r>
    <x v="1"/>
    <x v="11"/>
    <n v="155"/>
    <n v="152"/>
    <n v="118"/>
    <n v="34"/>
    <n v="0"/>
  </r>
  <r>
    <x v="1"/>
    <x v="12"/>
    <n v="81"/>
    <n v="81"/>
    <n v="78"/>
    <n v="3"/>
    <n v="0"/>
  </r>
  <r>
    <x v="1"/>
    <x v="12"/>
    <n v="113"/>
    <n v="112"/>
    <n v="111"/>
    <n v="1"/>
    <n v="1"/>
  </r>
  <r>
    <x v="2"/>
    <x v="0"/>
    <n v="23"/>
    <n v="19"/>
    <n v="14"/>
    <n v="5"/>
    <n v="0"/>
  </r>
  <r>
    <x v="2"/>
    <x v="0"/>
    <n v="8"/>
    <n v="7"/>
    <n v="5"/>
    <n v="2"/>
    <n v="0"/>
  </r>
  <r>
    <x v="2"/>
    <x v="2"/>
    <n v="40"/>
    <n v="40"/>
    <n v="39"/>
    <n v="1"/>
    <n v="0"/>
  </r>
  <r>
    <x v="2"/>
    <x v="2"/>
    <n v="31"/>
    <n v="30"/>
    <n v="27"/>
    <n v="3"/>
    <n v="0"/>
  </r>
  <r>
    <x v="2"/>
    <x v="3"/>
    <n v="73"/>
    <n v="73"/>
    <n v="70"/>
    <n v="3"/>
    <n v="0"/>
  </r>
  <r>
    <x v="2"/>
    <x v="3"/>
    <n v="34"/>
    <n v="34"/>
    <n v="26"/>
    <n v="8"/>
    <n v="0"/>
  </r>
  <r>
    <x v="2"/>
    <x v="4"/>
    <n v="119"/>
    <n v="115"/>
    <n v="81"/>
    <n v="34"/>
    <n v="1"/>
  </r>
  <r>
    <x v="2"/>
    <x v="4"/>
    <n v="52"/>
    <n v="48"/>
    <n v="27"/>
    <n v="21"/>
    <n v="0"/>
  </r>
  <r>
    <x v="2"/>
    <x v="5"/>
    <n v="1"/>
    <n v="1"/>
    <n v="1"/>
    <n v="0"/>
    <n v="0"/>
  </r>
  <r>
    <x v="2"/>
    <x v="6"/>
    <n v="111"/>
    <n v="110"/>
    <n v="97"/>
    <n v="13"/>
    <n v="0"/>
  </r>
  <r>
    <x v="2"/>
    <x v="6"/>
    <n v="38"/>
    <n v="38"/>
    <n v="28"/>
    <n v="10"/>
    <n v="0"/>
  </r>
  <r>
    <x v="2"/>
    <x v="7"/>
    <n v="130"/>
    <n v="129"/>
    <n v="128"/>
    <n v="1"/>
    <n v="0"/>
  </r>
  <r>
    <x v="2"/>
    <x v="7"/>
    <n v="12"/>
    <n v="12"/>
    <n v="12"/>
    <n v="0"/>
    <n v="0"/>
  </r>
  <r>
    <x v="2"/>
    <x v="8"/>
    <n v="1"/>
    <n v="1"/>
    <n v="0"/>
    <n v="1"/>
    <n v="0"/>
  </r>
  <r>
    <x v="2"/>
    <x v="9"/>
    <n v="26"/>
    <n v="26"/>
    <n v="18"/>
    <n v="8"/>
    <n v="0"/>
  </r>
  <r>
    <x v="2"/>
    <x v="9"/>
    <n v="4"/>
    <n v="4"/>
    <n v="2"/>
    <n v="2"/>
    <n v="0"/>
  </r>
  <r>
    <x v="2"/>
    <x v="10"/>
    <n v="4"/>
    <n v="4"/>
    <n v="3"/>
    <n v="1"/>
    <n v="0"/>
  </r>
  <r>
    <x v="2"/>
    <x v="10"/>
    <n v="3"/>
    <n v="3"/>
    <n v="2"/>
    <n v="1"/>
    <n v="0"/>
  </r>
  <r>
    <x v="2"/>
    <x v="11"/>
    <n v="80"/>
    <n v="78"/>
    <n v="59"/>
    <n v="19"/>
    <n v="0"/>
  </r>
  <r>
    <x v="2"/>
    <x v="11"/>
    <n v="26"/>
    <n v="26"/>
    <n v="17"/>
    <n v="9"/>
    <n v="0"/>
  </r>
  <r>
    <x v="2"/>
    <x v="12"/>
    <n v="21"/>
    <n v="18"/>
    <n v="18"/>
    <n v="0"/>
    <n v="0"/>
  </r>
  <r>
    <x v="3"/>
    <x v="0"/>
    <n v="18"/>
    <n v="13"/>
    <n v="11"/>
    <n v="2"/>
    <n v="0"/>
  </r>
  <r>
    <x v="3"/>
    <x v="0"/>
    <n v="9"/>
    <n v="7"/>
    <n v="6"/>
    <n v="1"/>
    <n v="0"/>
  </r>
  <r>
    <x v="3"/>
    <x v="1"/>
    <n v="5"/>
    <n v="0"/>
    <n v="0"/>
    <n v="0"/>
    <n v="0"/>
  </r>
  <r>
    <x v="3"/>
    <x v="2"/>
    <n v="66"/>
    <n v="66"/>
    <n v="60"/>
    <n v="6"/>
    <n v="0"/>
  </r>
  <r>
    <x v="3"/>
    <x v="2"/>
    <n v="52"/>
    <n v="51"/>
    <n v="40"/>
    <n v="11"/>
    <n v="0"/>
  </r>
  <r>
    <x v="3"/>
    <x v="3"/>
    <n v="95"/>
    <n v="95"/>
    <n v="77"/>
    <n v="18"/>
    <n v="0"/>
  </r>
  <r>
    <x v="3"/>
    <x v="3"/>
    <n v="81"/>
    <n v="81"/>
    <n v="63"/>
    <n v="18"/>
    <n v="0"/>
  </r>
  <r>
    <x v="3"/>
    <x v="4"/>
    <n v="104"/>
    <n v="101"/>
    <n v="90"/>
    <n v="11"/>
    <n v="0"/>
  </r>
  <r>
    <x v="3"/>
    <x v="4"/>
    <n v="96"/>
    <n v="88"/>
    <n v="70"/>
    <n v="18"/>
    <n v="0"/>
  </r>
  <r>
    <x v="3"/>
    <x v="5"/>
    <n v="1"/>
    <n v="1"/>
    <n v="0"/>
    <n v="1"/>
    <n v="0"/>
  </r>
  <r>
    <x v="3"/>
    <x v="6"/>
    <n v="116"/>
    <n v="116"/>
    <n v="91"/>
    <n v="25"/>
    <n v="0"/>
  </r>
  <r>
    <x v="3"/>
    <x v="6"/>
    <n v="105"/>
    <n v="103"/>
    <n v="84"/>
    <n v="19"/>
    <n v="1"/>
  </r>
  <r>
    <x v="3"/>
    <x v="7"/>
    <n v="54"/>
    <n v="53"/>
    <n v="52"/>
    <n v="1"/>
    <n v="0"/>
  </r>
  <r>
    <x v="3"/>
    <x v="7"/>
    <n v="18"/>
    <n v="18"/>
    <n v="18"/>
    <n v="0"/>
    <n v="0"/>
  </r>
  <r>
    <x v="3"/>
    <x v="8"/>
    <n v="25"/>
    <n v="22"/>
    <n v="22"/>
    <n v="0"/>
    <n v="0"/>
  </r>
  <r>
    <x v="3"/>
    <x v="8"/>
    <n v="10"/>
    <n v="9"/>
    <n v="8"/>
    <n v="1"/>
    <n v="0"/>
  </r>
  <r>
    <x v="3"/>
    <x v="9"/>
    <n v="18"/>
    <n v="17"/>
    <n v="17"/>
    <n v="0"/>
    <n v="0"/>
  </r>
  <r>
    <x v="3"/>
    <x v="9"/>
    <n v="40"/>
    <n v="40"/>
    <n v="37"/>
    <n v="3"/>
    <n v="0"/>
  </r>
  <r>
    <x v="3"/>
    <x v="10"/>
    <n v="14"/>
    <n v="13"/>
    <n v="13"/>
    <n v="0"/>
    <n v="0"/>
  </r>
  <r>
    <x v="3"/>
    <x v="10"/>
    <n v="20"/>
    <n v="20"/>
    <n v="20"/>
    <n v="0"/>
    <n v="0"/>
  </r>
  <r>
    <x v="3"/>
    <x v="11"/>
    <n v="123"/>
    <n v="123"/>
    <n v="108"/>
    <n v="15"/>
    <n v="0"/>
  </r>
  <r>
    <x v="3"/>
    <x v="11"/>
    <n v="122"/>
    <n v="122"/>
    <n v="107"/>
    <n v="15"/>
    <n v="0"/>
  </r>
  <r>
    <x v="3"/>
    <x v="12"/>
    <n v="9"/>
    <n v="8"/>
    <n v="8"/>
    <n v="0"/>
    <n v="0"/>
  </r>
  <r>
    <x v="4"/>
    <x v="0"/>
    <n v="2"/>
    <n v="2"/>
    <n v="2"/>
    <n v="0"/>
    <n v="0"/>
  </r>
  <r>
    <x v="4"/>
    <x v="15"/>
    <n v="1"/>
    <n v="0"/>
    <n v="0"/>
    <n v="0"/>
    <n v="0"/>
  </r>
  <r>
    <x v="4"/>
    <x v="1"/>
    <n v="1"/>
    <n v="0"/>
    <n v="0"/>
    <n v="0"/>
    <n v="0"/>
  </r>
  <r>
    <x v="4"/>
    <x v="2"/>
    <n v="40"/>
    <n v="40"/>
    <n v="18"/>
    <n v="22"/>
    <n v="0"/>
  </r>
  <r>
    <x v="4"/>
    <x v="2"/>
    <n v="43"/>
    <n v="41"/>
    <n v="37"/>
    <n v="4"/>
    <n v="1"/>
  </r>
  <r>
    <x v="4"/>
    <x v="3"/>
    <n v="25"/>
    <n v="25"/>
    <n v="13"/>
    <n v="12"/>
    <n v="0"/>
  </r>
  <r>
    <x v="4"/>
    <x v="3"/>
    <n v="26"/>
    <n v="26"/>
    <n v="25"/>
    <n v="1"/>
    <n v="0"/>
  </r>
  <r>
    <x v="4"/>
    <x v="4"/>
    <n v="30"/>
    <n v="28"/>
    <n v="25"/>
    <n v="3"/>
    <n v="1"/>
  </r>
  <r>
    <x v="4"/>
    <x v="4"/>
    <n v="36"/>
    <n v="33"/>
    <n v="26"/>
    <n v="7"/>
    <n v="1"/>
  </r>
  <r>
    <x v="4"/>
    <x v="5"/>
    <n v="1"/>
    <n v="1"/>
    <n v="0"/>
    <n v="1"/>
    <n v="0"/>
  </r>
  <r>
    <x v="4"/>
    <x v="6"/>
    <n v="75"/>
    <n v="73"/>
    <n v="42"/>
    <n v="31"/>
    <n v="1"/>
  </r>
  <r>
    <x v="4"/>
    <x v="6"/>
    <n v="89"/>
    <n v="85"/>
    <n v="74"/>
    <n v="11"/>
    <n v="1"/>
  </r>
  <r>
    <x v="4"/>
    <x v="7"/>
    <n v="41"/>
    <n v="41"/>
    <n v="40"/>
    <n v="1"/>
    <n v="0"/>
  </r>
  <r>
    <x v="4"/>
    <x v="7"/>
    <n v="2"/>
    <n v="2"/>
    <n v="2"/>
    <n v="0"/>
    <n v="0"/>
  </r>
  <r>
    <x v="4"/>
    <x v="8"/>
    <n v="3"/>
    <n v="3"/>
    <n v="3"/>
    <n v="0"/>
    <n v="0"/>
  </r>
  <r>
    <x v="4"/>
    <x v="8"/>
    <n v="7"/>
    <n v="7"/>
    <n v="5"/>
    <n v="2"/>
    <n v="0"/>
  </r>
  <r>
    <x v="4"/>
    <x v="9"/>
    <n v="16"/>
    <n v="16"/>
    <n v="9"/>
    <n v="7"/>
    <n v="0"/>
  </r>
  <r>
    <x v="4"/>
    <x v="9"/>
    <n v="8"/>
    <n v="8"/>
    <n v="3"/>
    <n v="5"/>
    <n v="0"/>
  </r>
  <r>
    <x v="4"/>
    <x v="10"/>
    <n v="2"/>
    <n v="2"/>
    <n v="1"/>
    <n v="1"/>
    <n v="0"/>
  </r>
  <r>
    <x v="4"/>
    <x v="10"/>
    <n v="2"/>
    <n v="2"/>
    <n v="1"/>
    <n v="1"/>
    <n v="0"/>
  </r>
  <r>
    <x v="4"/>
    <x v="11"/>
    <n v="56"/>
    <n v="56"/>
    <n v="49"/>
    <n v="7"/>
    <n v="0"/>
  </r>
  <r>
    <x v="4"/>
    <x v="11"/>
    <n v="34"/>
    <n v="34"/>
    <n v="25"/>
    <n v="9"/>
    <n v="0"/>
  </r>
  <r>
    <x v="4"/>
    <x v="12"/>
    <n v="29"/>
    <n v="28"/>
    <n v="28"/>
    <n v="0"/>
    <n v="0"/>
  </r>
  <r>
    <x v="4"/>
    <x v="12"/>
    <n v="4"/>
    <n v="2"/>
    <n v="2"/>
    <n v="0"/>
    <n v="1"/>
  </r>
  <r>
    <x v="5"/>
    <x v="0"/>
    <n v="17"/>
    <n v="13"/>
    <n v="13"/>
    <n v="0"/>
    <n v="0"/>
  </r>
  <r>
    <x v="5"/>
    <x v="0"/>
    <n v="20"/>
    <n v="19"/>
    <n v="17"/>
    <n v="2"/>
    <n v="0"/>
  </r>
  <r>
    <x v="5"/>
    <x v="14"/>
    <n v="2"/>
    <n v="0"/>
    <n v="0"/>
    <n v="0"/>
    <n v="0"/>
  </r>
  <r>
    <x v="5"/>
    <x v="1"/>
    <n v="11"/>
    <n v="0"/>
    <n v="0"/>
    <n v="0"/>
    <n v="0"/>
  </r>
  <r>
    <x v="5"/>
    <x v="2"/>
    <n v="98"/>
    <n v="91"/>
    <n v="88"/>
    <n v="3"/>
    <n v="0"/>
  </r>
  <r>
    <x v="5"/>
    <x v="2"/>
    <n v="89"/>
    <n v="88"/>
    <n v="82"/>
    <n v="6"/>
    <n v="1"/>
  </r>
  <r>
    <x v="5"/>
    <x v="3"/>
    <n v="142"/>
    <n v="137"/>
    <n v="112"/>
    <n v="25"/>
    <n v="0"/>
  </r>
  <r>
    <x v="5"/>
    <x v="3"/>
    <n v="93"/>
    <n v="92"/>
    <n v="81"/>
    <n v="11"/>
    <n v="0"/>
  </r>
  <r>
    <x v="5"/>
    <x v="4"/>
    <n v="209"/>
    <n v="196"/>
    <n v="178"/>
    <n v="18"/>
    <n v="1"/>
  </r>
  <r>
    <x v="5"/>
    <x v="4"/>
    <n v="128"/>
    <n v="117"/>
    <n v="107"/>
    <n v="10"/>
    <n v="1"/>
  </r>
  <r>
    <x v="5"/>
    <x v="6"/>
    <n v="148"/>
    <n v="143"/>
    <n v="85"/>
    <n v="58"/>
    <n v="0"/>
  </r>
  <r>
    <x v="5"/>
    <x v="6"/>
    <n v="99"/>
    <n v="93"/>
    <n v="82"/>
    <n v="11"/>
    <n v="3"/>
  </r>
  <r>
    <x v="5"/>
    <x v="7"/>
    <n v="49"/>
    <n v="49"/>
    <n v="47"/>
    <n v="2"/>
    <n v="0"/>
  </r>
  <r>
    <x v="5"/>
    <x v="7"/>
    <n v="35"/>
    <n v="33"/>
    <n v="33"/>
    <n v="0"/>
    <n v="0"/>
  </r>
  <r>
    <x v="5"/>
    <x v="8"/>
    <n v="30"/>
    <n v="27"/>
    <n v="25"/>
    <n v="2"/>
    <n v="0"/>
  </r>
  <r>
    <x v="5"/>
    <x v="8"/>
    <n v="14"/>
    <n v="14"/>
    <n v="14"/>
    <n v="0"/>
    <n v="0"/>
  </r>
  <r>
    <x v="5"/>
    <x v="9"/>
    <n v="89"/>
    <n v="88"/>
    <n v="71"/>
    <n v="17"/>
    <n v="0"/>
  </r>
  <r>
    <x v="5"/>
    <x v="9"/>
    <n v="41"/>
    <n v="41"/>
    <n v="31"/>
    <n v="10"/>
    <n v="0"/>
  </r>
  <r>
    <x v="5"/>
    <x v="10"/>
    <n v="56"/>
    <n v="55"/>
    <n v="52"/>
    <n v="3"/>
    <n v="0"/>
  </r>
  <r>
    <x v="5"/>
    <x v="10"/>
    <n v="24"/>
    <n v="24"/>
    <n v="23"/>
    <n v="1"/>
    <n v="0"/>
  </r>
  <r>
    <x v="5"/>
    <x v="11"/>
    <n v="138"/>
    <n v="137"/>
    <n v="123"/>
    <n v="14"/>
    <n v="0"/>
  </r>
  <r>
    <x v="5"/>
    <x v="11"/>
    <n v="148"/>
    <n v="148"/>
    <n v="123"/>
    <n v="25"/>
    <n v="0"/>
  </r>
  <r>
    <x v="5"/>
    <x v="12"/>
    <n v="93"/>
    <n v="93"/>
    <n v="88"/>
    <n v="5"/>
    <n v="0"/>
  </r>
  <r>
    <x v="5"/>
    <x v="12"/>
    <n v="74"/>
    <n v="65"/>
    <n v="60"/>
    <n v="5"/>
    <n v="0"/>
  </r>
  <r>
    <x v="6"/>
    <x v="0"/>
    <n v="12"/>
    <n v="8"/>
    <n v="7"/>
    <n v="1"/>
    <n v="1"/>
  </r>
  <r>
    <x v="6"/>
    <x v="0"/>
    <n v="13"/>
    <n v="11"/>
    <n v="8"/>
    <n v="3"/>
    <n v="0"/>
  </r>
  <r>
    <x v="6"/>
    <x v="1"/>
    <n v="9"/>
    <n v="0"/>
    <n v="0"/>
    <n v="0"/>
    <n v="0"/>
  </r>
  <r>
    <x v="6"/>
    <x v="2"/>
    <n v="21"/>
    <n v="20"/>
    <n v="19"/>
    <n v="1"/>
    <n v="1"/>
  </r>
  <r>
    <x v="6"/>
    <x v="2"/>
    <n v="19"/>
    <n v="18"/>
    <n v="14"/>
    <n v="4"/>
    <n v="1"/>
  </r>
  <r>
    <x v="6"/>
    <x v="3"/>
    <n v="69"/>
    <n v="68"/>
    <n v="58"/>
    <n v="10"/>
    <n v="0"/>
  </r>
  <r>
    <x v="6"/>
    <x v="3"/>
    <n v="46"/>
    <n v="43"/>
    <n v="35"/>
    <n v="8"/>
    <n v="1"/>
  </r>
  <r>
    <x v="6"/>
    <x v="4"/>
    <n v="143"/>
    <n v="120"/>
    <n v="110"/>
    <n v="10"/>
    <n v="3"/>
  </r>
  <r>
    <x v="6"/>
    <x v="4"/>
    <n v="113"/>
    <n v="105"/>
    <n v="87"/>
    <n v="18"/>
    <n v="2"/>
  </r>
  <r>
    <x v="6"/>
    <x v="5"/>
    <n v="2"/>
    <n v="2"/>
    <n v="2"/>
    <n v="0"/>
    <n v="0"/>
  </r>
  <r>
    <x v="6"/>
    <x v="6"/>
    <n v="138"/>
    <n v="135"/>
    <n v="107"/>
    <n v="28"/>
    <n v="0"/>
  </r>
  <r>
    <x v="6"/>
    <x v="6"/>
    <n v="87"/>
    <n v="85"/>
    <n v="81"/>
    <n v="4"/>
    <n v="1"/>
  </r>
  <r>
    <x v="6"/>
    <x v="7"/>
    <n v="35"/>
    <n v="35"/>
    <n v="33"/>
    <n v="2"/>
    <n v="0"/>
  </r>
  <r>
    <x v="6"/>
    <x v="7"/>
    <n v="26"/>
    <n v="26"/>
    <n v="25"/>
    <n v="1"/>
    <n v="0"/>
  </r>
  <r>
    <x v="6"/>
    <x v="8"/>
    <n v="4"/>
    <n v="4"/>
    <n v="4"/>
    <n v="0"/>
    <n v="0"/>
  </r>
  <r>
    <x v="6"/>
    <x v="8"/>
    <n v="1"/>
    <n v="1"/>
    <n v="0"/>
    <n v="1"/>
    <n v="0"/>
  </r>
  <r>
    <x v="6"/>
    <x v="9"/>
    <n v="33"/>
    <n v="30"/>
    <n v="24"/>
    <n v="6"/>
    <n v="1"/>
  </r>
  <r>
    <x v="6"/>
    <x v="9"/>
    <n v="16"/>
    <n v="15"/>
    <n v="9"/>
    <n v="6"/>
    <n v="1"/>
  </r>
  <r>
    <x v="6"/>
    <x v="10"/>
    <n v="22"/>
    <n v="21"/>
    <n v="21"/>
    <n v="0"/>
    <n v="0"/>
  </r>
  <r>
    <x v="6"/>
    <x v="10"/>
    <n v="11"/>
    <n v="11"/>
    <n v="11"/>
    <n v="0"/>
    <n v="0"/>
  </r>
  <r>
    <x v="6"/>
    <x v="11"/>
    <n v="91"/>
    <n v="91"/>
    <n v="84"/>
    <n v="7"/>
    <n v="0"/>
  </r>
  <r>
    <x v="6"/>
    <x v="11"/>
    <n v="78"/>
    <n v="77"/>
    <n v="49"/>
    <n v="28"/>
    <n v="0"/>
  </r>
  <r>
    <x v="6"/>
    <x v="12"/>
    <n v="25"/>
    <n v="24"/>
    <n v="18"/>
    <n v="6"/>
    <n v="0"/>
  </r>
  <r>
    <x v="6"/>
    <x v="12"/>
    <n v="19"/>
    <n v="17"/>
    <n v="11"/>
    <n v="6"/>
    <n v="0"/>
  </r>
  <r>
    <x v="7"/>
    <x v="0"/>
    <n v="7"/>
    <n v="6"/>
    <n v="6"/>
    <n v="0"/>
    <n v="0"/>
  </r>
  <r>
    <x v="7"/>
    <x v="0"/>
    <n v="5"/>
    <n v="5"/>
    <n v="4"/>
    <n v="1"/>
    <n v="0"/>
  </r>
  <r>
    <x v="7"/>
    <x v="15"/>
    <n v="1"/>
    <n v="0"/>
    <n v="0"/>
    <n v="0"/>
    <n v="0"/>
  </r>
  <r>
    <x v="7"/>
    <x v="1"/>
    <n v="3"/>
    <n v="0"/>
    <n v="0"/>
    <n v="0"/>
    <n v="0"/>
  </r>
  <r>
    <x v="7"/>
    <x v="2"/>
    <n v="25"/>
    <n v="25"/>
    <n v="17"/>
    <n v="8"/>
    <n v="0"/>
  </r>
  <r>
    <x v="7"/>
    <x v="2"/>
    <n v="14"/>
    <n v="14"/>
    <n v="12"/>
    <n v="2"/>
    <n v="0"/>
  </r>
  <r>
    <x v="7"/>
    <x v="3"/>
    <n v="37"/>
    <n v="37"/>
    <n v="31"/>
    <n v="6"/>
    <n v="0"/>
  </r>
  <r>
    <x v="7"/>
    <x v="3"/>
    <n v="24"/>
    <n v="24"/>
    <n v="17"/>
    <n v="7"/>
    <n v="0"/>
  </r>
  <r>
    <x v="7"/>
    <x v="4"/>
    <n v="79"/>
    <n v="77"/>
    <n v="73"/>
    <n v="4"/>
    <n v="0"/>
  </r>
  <r>
    <x v="7"/>
    <x v="4"/>
    <n v="72"/>
    <n v="69"/>
    <n v="54"/>
    <n v="15"/>
    <n v="0"/>
  </r>
  <r>
    <x v="7"/>
    <x v="6"/>
    <n v="96"/>
    <n v="95"/>
    <n v="81"/>
    <n v="14"/>
    <n v="0"/>
  </r>
  <r>
    <x v="7"/>
    <x v="6"/>
    <n v="67"/>
    <n v="66"/>
    <n v="52"/>
    <n v="14"/>
    <n v="0"/>
  </r>
  <r>
    <x v="7"/>
    <x v="7"/>
    <n v="37"/>
    <n v="37"/>
    <n v="37"/>
    <n v="0"/>
    <n v="0"/>
  </r>
  <r>
    <x v="7"/>
    <x v="7"/>
    <n v="25"/>
    <n v="24"/>
    <n v="24"/>
    <n v="0"/>
    <n v="0"/>
  </r>
  <r>
    <x v="7"/>
    <x v="8"/>
    <n v="8"/>
    <n v="8"/>
    <n v="6"/>
    <n v="2"/>
    <n v="0"/>
  </r>
  <r>
    <x v="7"/>
    <x v="8"/>
    <n v="1"/>
    <n v="1"/>
    <n v="1"/>
    <n v="0"/>
    <n v="0"/>
  </r>
  <r>
    <x v="7"/>
    <x v="9"/>
    <n v="39"/>
    <n v="38"/>
    <n v="27"/>
    <n v="11"/>
    <n v="0"/>
  </r>
  <r>
    <x v="7"/>
    <x v="9"/>
    <n v="18"/>
    <n v="15"/>
    <n v="9"/>
    <n v="6"/>
    <n v="0"/>
  </r>
  <r>
    <x v="7"/>
    <x v="10"/>
    <n v="29"/>
    <n v="29"/>
    <n v="23"/>
    <n v="6"/>
    <n v="0"/>
  </r>
  <r>
    <x v="7"/>
    <x v="10"/>
    <n v="13"/>
    <n v="11"/>
    <n v="9"/>
    <n v="2"/>
    <n v="0"/>
  </r>
  <r>
    <x v="7"/>
    <x v="11"/>
    <n v="87"/>
    <n v="87"/>
    <n v="80"/>
    <n v="7"/>
    <n v="0"/>
  </r>
  <r>
    <x v="7"/>
    <x v="11"/>
    <n v="56"/>
    <n v="56"/>
    <n v="50"/>
    <n v="6"/>
    <n v="0"/>
  </r>
  <r>
    <x v="7"/>
    <x v="12"/>
    <n v="23"/>
    <n v="23"/>
    <n v="23"/>
    <n v="0"/>
    <n v="0"/>
  </r>
  <r>
    <x v="7"/>
    <x v="12"/>
    <n v="6"/>
    <n v="6"/>
    <n v="5"/>
    <n v="1"/>
    <n v="0"/>
  </r>
  <r>
    <x v="8"/>
    <x v="0"/>
    <n v="89"/>
    <n v="57"/>
    <n v="35"/>
    <n v="22"/>
    <n v="0"/>
  </r>
  <r>
    <x v="8"/>
    <x v="0"/>
    <n v="34"/>
    <n v="23"/>
    <n v="20"/>
    <n v="3"/>
    <n v="0"/>
  </r>
  <r>
    <x v="8"/>
    <x v="1"/>
    <n v="13"/>
    <n v="0"/>
    <n v="0"/>
    <n v="0"/>
    <n v="0"/>
  </r>
  <r>
    <x v="8"/>
    <x v="1"/>
    <n v="2"/>
    <n v="0"/>
    <n v="0"/>
    <n v="0"/>
    <n v="0"/>
  </r>
  <r>
    <x v="8"/>
    <x v="2"/>
    <n v="106"/>
    <n v="104"/>
    <n v="88"/>
    <n v="16"/>
    <n v="0"/>
  </r>
  <r>
    <x v="8"/>
    <x v="2"/>
    <n v="87"/>
    <n v="72"/>
    <n v="67"/>
    <n v="5"/>
    <n v="0"/>
  </r>
  <r>
    <x v="8"/>
    <x v="3"/>
    <n v="198"/>
    <n v="185"/>
    <n v="148"/>
    <n v="37"/>
    <n v="2"/>
  </r>
  <r>
    <x v="8"/>
    <x v="3"/>
    <n v="154"/>
    <n v="145"/>
    <n v="134"/>
    <n v="11"/>
    <n v="0"/>
  </r>
  <r>
    <x v="8"/>
    <x v="4"/>
    <n v="315"/>
    <n v="285"/>
    <n v="249"/>
    <n v="36"/>
    <n v="1"/>
  </r>
  <r>
    <x v="8"/>
    <x v="4"/>
    <n v="179"/>
    <n v="169"/>
    <n v="135"/>
    <n v="34"/>
    <n v="0"/>
  </r>
  <r>
    <x v="8"/>
    <x v="5"/>
    <n v="4"/>
    <n v="4"/>
    <n v="4"/>
    <n v="0"/>
    <n v="0"/>
  </r>
  <r>
    <x v="8"/>
    <x v="5"/>
    <n v="4"/>
    <n v="4"/>
    <n v="4"/>
    <n v="0"/>
    <n v="0"/>
  </r>
  <r>
    <x v="8"/>
    <x v="6"/>
    <n v="353"/>
    <n v="347"/>
    <n v="300"/>
    <n v="47"/>
    <n v="0"/>
  </r>
  <r>
    <x v="8"/>
    <x v="6"/>
    <n v="312"/>
    <n v="294"/>
    <n v="244"/>
    <n v="50"/>
    <n v="0"/>
  </r>
  <r>
    <x v="8"/>
    <x v="7"/>
    <n v="350"/>
    <n v="350"/>
    <n v="345"/>
    <n v="5"/>
    <n v="0"/>
  </r>
  <r>
    <x v="8"/>
    <x v="7"/>
    <n v="183"/>
    <n v="176"/>
    <n v="175"/>
    <n v="1"/>
    <n v="0"/>
  </r>
  <r>
    <x v="8"/>
    <x v="8"/>
    <n v="40"/>
    <n v="28"/>
    <n v="26"/>
    <n v="2"/>
    <n v="0"/>
  </r>
  <r>
    <x v="8"/>
    <x v="8"/>
    <n v="4"/>
    <n v="2"/>
    <n v="1"/>
    <n v="1"/>
    <n v="0"/>
  </r>
  <r>
    <x v="8"/>
    <x v="9"/>
    <n v="71"/>
    <n v="71"/>
    <n v="66"/>
    <n v="5"/>
    <n v="0"/>
  </r>
  <r>
    <x v="8"/>
    <x v="9"/>
    <n v="52"/>
    <n v="50"/>
    <n v="39"/>
    <n v="11"/>
    <n v="0"/>
  </r>
  <r>
    <x v="8"/>
    <x v="10"/>
    <n v="42"/>
    <n v="42"/>
    <n v="40"/>
    <n v="2"/>
    <n v="0"/>
  </r>
  <r>
    <x v="8"/>
    <x v="10"/>
    <n v="15"/>
    <n v="14"/>
    <n v="12"/>
    <n v="2"/>
    <n v="0"/>
  </r>
  <r>
    <x v="8"/>
    <x v="11"/>
    <n v="193"/>
    <n v="193"/>
    <n v="174"/>
    <n v="19"/>
    <n v="0"/>
  </r>
  <r>
    <x v="8"/>
    <x v="11"/>
    <n v="170"/>
    <n v="167"/>
    <n v="148"/>
    <n v="19"/>
    <n v="0"/>
  </r>
  <r>
    <x v="8"/>
    <x v="12"/>
    <n v="102"/>
    <n v="93"/>
    <n v="84"/>
    <n v="9"/>
    <n v="1"/>
  </r>
  <r>
    <x v="8"/>
    <x v="12"/>
    <n v="66"/>
    <n v="46"/>
    <n v="40"/>
    <n v="6"/>
    <n v="0"/>
  </r>
  <r>
    <x v="9"/>
    <x v="0"/>
    <n v="17"/>
    <n v="12"/>
    <n v="10"/>
    <n v="2"/>
    <n v="0"/>
  </r>
  <r>
    <x v="9"/>
    <x v="0"/>
    <n v="8"/>
    <n v="8"/>
    <n v="8"/>
    <n v="0"/>
    <n v="0"/>
  </r>
  <r>
    <x v="9"/>
    <x v="1"/>
    <n v="1"/>
    <n v="0"/>
    <n v="0"/>
    <n v="0"/>
    <n v="0"/>
  </r>
  <r>
    <x v="9"/>
    <x v="2"/>
    <n v="136"/>
    <n v="133"/>
    <n v="123"/>
    <n v="10"/>
    <n v="0"/>
  </r>
  <r>
    <x v="9"/>
    <x v="2"/>
    <n v="58"/>
    <n v="55"/>
    <n v="51"/>
    <n v="4"/>
    <n v="0"/>
  </r>
  <r>
    <x v="9"/>
    <x v="3"/>
    <n v="105"/>
    <n v="105"/>
    <n v="96"/>
    <n v="9"/>
    <n v="0"/>
  </r>
  <r>
    <x v="9"/>
    <x v="3"/>
    <n v="95"/>
    <n v="90"/>
    <n v="79"/>
    <n v="11"/>
    <n v="0"/>
  </r>
  <r>
    <x v="9"/>
    <x v="4"/>
    <n v="173"/>
    <n v="168"/>
    <n v="113"/>
    <n v="55"/>
    <n v="0"/>
  </r>
  <r>
    <x v="9"/>
    <x v="4"/>
    <n v="157"/>
    <n v="149"/>
    <n v="140"/>
    <n v="9"/>
    <n v="1"/>
  </r>
  <r>
    <x v="9"/>
    <x v="5"/>
    <n v="2"/>
    <n v="2"/>
    <n v="2"/>
    <n v="0"/>
    <n v="0"/>
  </r>
  <r>
    <x v="9"/>
    <x v="6"/>
    <n v="195"/>
    <n v="194"/>
    <n v="172"/>
    <n v="22"/>
    <n v="1"/>
  </r>
  <r>
    <x v="9"/>
    <x v="6"/>
    <n v="124"/>
    <n v="123"/>
    <n v="107"/>
    <n v="16"/>
    <n v="0"/>
  </r>
  <r>
    <x v="9"/>
    <x v="7"/>
    <n v="56"/>
    <n v="56"/>
    <n v="56"/>
    <n v="0"/>
    <n v="0"/>
  </r>
  <r>
    <x v="9"/>
    <x v="7"/>
    <n v="18"/>
    <n v="18"/>
    <n v="18"/>
    <n v="0"/>
    <n v="0"/>
  </r>
  <r>
    <x v="9"/>
    <x v="8"/>
    <n v="28"/>
    <n v="17"/>
    <n v="12"/>
    <n v="5"/>
    <n v="0"/>
  </r>
  <r>
    <x v="9"/>
    <x v="8"/>
    <n v="7"/>
    <n v="6"/>
    <n v="5"/>
    <n v="1"/>
    <n v="0"/>
  </r>
  <r>
    <x v="9"/>
    <x v="9"/>
    <n v="47"/>
    <n v="47"/>
    <n v="44"/>
    <n v="3"/>
    <n v="0"/>
  </r>
  <r>
    <x v="9"/>
    <x v="9"/>
    <n v="33"/>
    <n v="33"/>
    <n v="30"/>
    <n v="3"/>
    <n v="0"/>
  </r>
  <r>
    <x v="9"/>
    <x v="10"/>
    <n v="29"/>
    <n v="29"/>
    <n v="27"/>
    <n v="2"/>
    <n v="0"/>
  </r>
  <r>
    <x v="9"/>
    <x v="10"/>
    <n v="18"/>
    <n v="17"/>
    <n v="17"/>
    <n v="0"/>
    <n v="0"/>
  </r>
  <r>
    <x v="9"/>
    <x v="11"/>
    <n v="196"/>
    <n v="196"/>
    <n v="159"/>
    <n v="37"/>
    <n v="0"/>
  </r>
  <r>
    <x v="9"/>
    <x v="11"/>
    <n v="128"/>
    <n v="128"/>
    <n v="106"/>
    <n v="22"/>
    <n v="0"/>
  </r>
  <r>
    <x v="9"/>
    <x v="12"/>
    <n v="122"/>
    <n v="122"/>
    <n v="110"/>
    <n v="12"/>
    <n v="0"/>
  </r>
  <r>
    <x v="9"/>
    <x v="12"/>
    <n v="51"/>
    <n v="50"/>
    <n v="50"/>
    <n v="0"/>
    <n v="0"/>
  </r>
  <r>
    <x v="10"/>
    <x v="0"/>
    <n v="16"/>
    <n v="15"/>
    <n v="13"/>
    <n v="2"/>
    <n v="0"/>
  </r>
  <r>
    <x v="10"/>
    <x v="0"/>
    <n v="11"/>
    <n v="9"/>
    <n v="8"/>
    <n v="1"/>
    <n v="0"/>
  </r>
  <r>
    <x v="10"/>
    <x v="15"/>
    <n v="5"/>
    <n v="0"/>
    <n v="0"/>
    <n v="0"/>
    <n v="0"/>
  </r>
  <r>
    <x v="10"/>
    <x v="14"/>
    <n v="5"/>
    <n v="0"/>
    <n v="0"/>
    <n v="0"/>
    <n v="0"/>
  </r>
  <r>
    <x v="10"/>
    <x v="14"/>
    <n v="2"/>
    <n v="0"/>
    <n v="0"/>
    <n v="0"/>
    <n v="0"/>
  </r>
  <r>
    <x v="10"/>
    <x v="1"/>
    <n v="10"/>
    <n v="0"/>
    <n v="0"/>
    <n v="0"/>
    <n v="0"/>
  </r>
  <r>
    <x v="10"/>
    <x v="2"/>
    <n v="59"/>
    <n v="59"/>
    <n v="42"/>
    <n v="17"/>
    <n v="0"/>
  </r>
  <r>
    <x v="10"/>
    <x v="2"/>
    <n v="67"/>
    <n v="64"/>
    <n v="60"/>
    <n v="4"/>
    <n v="1"/>
  </r>
  <r>
    <x v="10"/>
    <x v="3"/>
    <n v="207"/>
    <n v="202"/>
    <n v="171"/>
    <n v="31"/>
    <n v="1"/>
  </r>
  <r>
    <x v="10"/>
    <x v="3"/>
    <n v="143"/>
    <n v="139"/>
    <n v="114"/>
    <n v="25"/>
    <n v="2"/>
  </r>
  <r>
    <x v="10"/>
    <x v="4"/>
    <n v="307"/>
    <n v="302"/>
    <n v="285"/>
    <n v="17"/>
    <n v="0"/>
  </r>
  <r>
    <x v="10"/>
    <x v="4"/>
    <n v="261"/>
    <n v="244"/>
    <n v="229"/>
    <n v="15"/>
    <n v="1"/>
  </r>
  <r>
    <x v="10"/>
    <x v="5"/>
    <n v="1"/>
    <n v="1"/>
    <n v="1"/>
    <n v="0"/>
    <n v="0"/>
  </r>
  <r>
    <x v="10"/>
    <x v="6"/>
    <n v="333"/>
    <n v="331"/>
    <n v="238"/>
    <n v="93"/>
    <n v="1"/>
  </r>
  <r>
    <x v="10"/>
    <x v="6"/>
    <n v="270"/>
    <n v="266"/>
    <n v="243"/>
    <n v="23"/>
    <n v="1"/>
  </r>
  <r>
    <x v="10"/>
    <x v="7"/>
    <n v="103"/>
    <n v="103"/>
    <n v="103"/>
    <n v="0"/>
    <n v="0"/>
  </r>
  <r>
    <x v="10"/>
    <x v="7"/>
    <n v="98"/>
    <n v="98"/>
    <n v="98"/>
    <n v="0"/>
    <n v="0"/>
  </r>
  <r>
    <x v="10"/>
    <x v="8"/>
    <n v="11"/>
    <n v="10"/>
    <n v="9"/>
    <n v="1"/>
    <n v="0"/>
  </r>
  <r>
    <x v="10"/>
    <x v="8"/>
    <n v="11"/>
    <n v="9"/>
    <n v="7"/>
    <n v="2"/>
    <n v="0"/>
  </r>
  <r>
    <x v="10"/>
    <x v="9"/>
    <n v="108"/>
    <n v="107"/>
    <n v="91"/>
    <n v="16"/>
    <n v="0"/>
  </r>
  <r>
    <x v="10"/>
    <x v="9"/>
    <n v="68"/>
    <n v="66"/>
    <n v="57"/>
    <n v="9"/>
    <n v="0"/>
  </r>
  <r>
    <x v="10"/>
    <x v="10"/>
    <n v="70"/>
    <n v="69"/>
    <n v="64"/>
    <n v="5"/>
    <n v="0"/>
  </r>
  <r>
    <x v="10"/>
    <x v="10"/>
    <n v="29"/>
    <n v="29"/>
    <n v="25"/>
    <n v="4"/>
    <n v="0"/>
  </r>
  <r>
    <x v="10"/>
    <x v="11"/>
    <n v="292"/>
    <n v="292"/>
    <n v="276"/>
    <n v="16"/>
    <n v="0"/>
  </r>
  <r>
    <x v="10"/>
    <x v="11"/>
    <n v="188"/>
    <n v="187"/>
    <n v="173"/>
    <n v="14"/>
    <n v="0"/>
  </r>
  <r>
    <x v="10"/>
    <x v="12"/>
    <n v="66"/>
    <n v="61"/>
    <n v="48"/>
    <n v="13"/>
    <n v="0"/>
  </r>
  <r>
    <x v="10"/>
    <x v="12"/>
    <n v="52"/>
    <n v="48"/>
    <n v="48"/>
    <n v="0"/>
    <n v="0"/>
  </r>
  <r>
    <x v="11"/>
    <x v="0"/>
    <n v="17"/>
    <n v="14"/>
    <n v="10"/>
    <n v="4"/>
    <n v="0"/>
  </r>
  <r>
    <x v="11"/>
    <x v="0"/>
    <n v="8"/>
    <n v="8"/>
    <n v="5"/>
    <n v="3"/>
    <n v="0"/>
  </r>
  <r>
    <x v="11"/>
    <x v="1"/>
    <n v="10"/>
    <n v="0"/>
    <n v="0"/>
    <n v="0"/>
    <n v="0"/>
  </r>
  <r>
    <x v="11"/>
    <x v="1"/>
    <n v="1"/>
    <n v="0"/>
    <n v="0"/>
    <n v="0"/>
    <n v="0"/>
  </r>
  <r>
    <x v="11"/>
    <x v="2"/>
    <n v="49"/>
    <n v="48"/>
    <n v="42"/>
    <n v="6"/>
    <n v="0"/>
  </r>
  <r>
    <x v="11"/>
    <x v="2"/>
    <n v="67"/>
    <n v="63"/>
    <n v="43"/>
    <n v="20"/>
    <n v="0"/>
  </r>
  <r>
    <x v="11"/>
    <x v="3"/>
    <n v="117"/>
    <n v="115"/>
    <n v="76"/>
    <n v="39"/>
    <n v="1"/>
  </r>
  <r>
    <x v="11"/>
    <x v="3"/>
    <n v="79"/>
    <n v="76"/>
    <n v="51"/>
    <n v="25"/>
    <n v="0"/>
  </r>
  <r>
    <x v="11"/>
    <x v="4"/>
    <n v="219"/>
    <n v="204"/>
    <n v="146"/>
    <n v="58"/>
    <n v="1"/>
  </r>
  <r>
    <x v="11"/>
    <x v="4"/>
    <n v="189"/>
    <n v="167"/>
    <n v="108"/>
    <n v="59"/>
    <n v="3"/>
  </r>
  <r>
    <x v="11"/>
    <x v="5"/>
    <n v="5"/>
    <n v="5"/>
    <n v="4"/>
    <n v="1"/>
    <n v="0"/>
  </r>
  <r>
    <x v="11"/>
    <x v="5"/>
    <n v="1"/>
    <n v="1"/>
    <n v="1"/>
    <n v="0"/>
    <n v="0"/>
  </r>
  <r>
    <x v="11"/>
    <x v="6"/>
    <n v="162"/>
    <n v="158"/>
    <n v="96"/>
    <n v="62"/>
    <n v="1"/>
  </r>
  <r>
    <x v="11"/>
    <x v="6"/>
    <n v="169"/>
    <n v="160"/>
    <n v="102"/>
    <n v="58"/>
    <n v="1"/>
  </r>
  <r>
    <x v="11"/>
    <x v="7"/>
    <n v="48"/>
    <n v="47"/>
    <n v="47"/>
    <n v="0"/>
    <n v="0"/>
  </r>
  <r>
    <x v="11"/>
    <x v="7"/>
    <n v="31"/>
    <n v="29"/>
    <n v="27"/>
    <n v="2"/>
    <n v="0"/>
  </r>
  <r>
    <x v="11"/>
    <x v="8"/>
    <n v="3"/>
    <n v="2"/>
    <n v="1"/>
    <n v="1"/>
    <n v="0"/>
  </r>
  <r>
    <x v="11"/>
    <x v="8"/>
    <n v="2"/>
    <n v="2"/>
    <n v="1"/>
    <n v="1"/>
    <n v="0"/>
  </r>
  <r>
    <x v="11"/>
    <x v="9"/>
    <n v="43"/>
    <n v="42"/>
    <n v="35"/>
    <n v="7"/>
    <n v="1"/>
  </r>
  <r>
    <x v="11"/>
    <x v="9"/>
    <n v="36"/>
    <n v="29"/>
    <n v="17"/>
    <n v="12"/>
    <n v="0"/>
  </r>
  <r>
    <x v="11"/>
    <x v="10"/>
    <n v="33"/>
    <n v="33"/>
    <n v="30"/>
    <n v="3"/>
    <n v="0"/>
  </r>
  <r>
    <x v="11"/>
    <x v="10"/>
    <n v="13"/>
    <n v="12"/>
    <n v="9"/>
    <n v="3"/>
    <n v="0"/>
  </r>
  <r>
    <x v="11"/>
    <x v="11"/>
    <n v="145"/>
    <n v="145"/>
    <n v="128"/>
    <n v="17"/>
    <n v="0"/>
  </r>
  <r>
    <x v="11"/>
    <x v="11"/>
    <n v="114"/>
    <n v="114"/>
    <n v="99"/>
    <n v="15"/>
    <n v="0"/>
  </r>
  <r>
    <x v="11"/>
    <x v="12"/>
    <n v="34"/>
    <n v="32"/>
    <n v="28"/>
    <n v="4"/>
    <n v="0"/>
  </r>
  <r>
    <x v="11"/>
    <x v="12"/>
    <n v="27"/>
    <n v="20"/>
    <n v="20"/>
    <n v="0"/>
    <n v="0"/>
  </r>
  <r>
    <x v="12"/>
    <x v="0"/>
    <n v="10"/>
    <n v="9"/>
    <n v="5"/>
    <n v="4"/>
    <n v="0"/>
  </r>
  <r>
    <x v="12"/>
    <x v="0"/>
    <n v="13"/>
    <n v="12"/>
    <n v="10"/>
    <n v="2"/>
    <n v="0"/>
  </r>
  <r>
    <x v="12"/>
    <x v="15"/>
    <n v="1"/>
    <n v="0"/>
    <n v="0"/>
    <n v="0"/>
    <n v="0"/>
  </r>
  <r>
    <x v="12"/>
    <x v="15"/>
    <n v="1"/>
    <n v="0"/>
    <n v="0"/>
    <n v="0"/>
    <n v="0"/>
  </r>
  <r>
    <x v="12"/>
    <x v="1"/>
    <n v="17"/>
    <n v="0"/>
    <n v="0"/>
    <n v="0"/>
    <n v="0"/>
  </r>
  <r>
    <x v="12"/>
    <x v="1"/>
    <n v="2"/>
    <n v="0"/>
    <n v="0"/>
    <n v="0"/>
    <n v="0"/>
  </r>
  <r>
    <x v="12"/>
    <x v="2"/>
    <n v="73"/>
    <n v="73"/>
    <n v="58"/>
    <n v="15"/>
    <n v="0"/>
  </r>
  <r>
    <x v="12"/>
    <x v="2"/>
    <n v="51"/>
    <n v="51"/>
    <n v="49"/>
    <n v="2"/>
    <n v="0"/>
  </r>
  <r>
    <x v="12"/>
    <x v="3"/>
    <n v="111"/>
    <n v="109"/>
    <n v="104"/>
    <n v="5"/>
    <n v="1"/>
  </r>
  <r>
    <x v="12"/>
    <x v="3"/>
    <n v="97"/>
    <n v="92"/>
    <n v="77"/>
    <n v="15"/>
    <n v="2"/>
  </r>
  <r>
    <x v="12"/>
    <x v="4"/>
    <n v="190"/>
    <n v="180"/>
    <n v="138"/>
    <n v="42"/>
    <n v="1"/>
  </r>
  <r>
    <x v="12"/>
    <x v="4"/>
    <n v="164"/>
    <n v="157"/>
    <n v="120"/>
    <n v="37"/>
    <n v="1"/>
  </r>
  <r>
    <x v="12"/>
    <x v="6"/>
    <n v="196"/>
    <n v="194"/>
    <n v="113"/>
    <n v="81"/>
    <n v="0"/>
  </r>
  <r>
    <x v="12"/>
    <x v="6"/>
    <n v="125"/>
    <n v="123"/>
    <n v="118"/>
    <n v="5"/>
    <n v="1"/>
  </r>
  <r>
    <x v="12"/>
    <x v="7"/>
    <n v="48"/>
    <n v="48"/>
    <n v="47"/>
    <n v="1"/>
    <n v="0"/>
  </r>
  <r>
    <x v="12"/>
    <x v="7"/>
    <n v="24"/>
    <n v="22"/>
    <n v="21"/>
    <n v="1"/>
    <n v="0"/>
  </r>
  <r>
    <x v="12"/>
    <x v="8"/>
    <n v="139"/>
    <n v="105"/>
    <n v="95"/>
    <n v="10"/>
    <n v="0"/>
  </r>
  <r>
    <x v="12"/>
    <x v="8"/>
    <n v="115"/>
    <n v="96"/>
    <n v="83"/>
    <n v="13"/>
    <n v="0"/>
  </r>
  <r>
    <x v="12"/>
    <x v="9"/>
    <n v="52"/>
    <n v="52"/>
    <n v="49"/>
    <n v="3"/>
    <n v="0"/>
  </r>
  <r>
    <x v="12"/>
    <x v="9"/>
    <n v="34"/>
    <n v="32"/>
    <n v="32"/>
    <n v="0"/>
    <n v="0"/>
  </r>
  <r>
    <x v="12"/>
    <x v="10"/>
    <n v="28"/>
    <n v="28"/>
    <n v="27"/>
    <n v="1"/>
    <n v="0"/>
  </r>
  <r>
    <x v="12"/>
    <x v="10"/>
    <n v="15"/>
    <n v="15"/>
    <n v="15"/>
    <n v="0"/>
    <n v="0"/>
  </r>
  <r>
    <x v="12"/>
    <x v="11"/>
    <n v="171"/>
    <n v="171"/>
    <n v="163"/>
    <n v="8"/>
    <n v="0"/>
  </r>
  <r>
    <x v="12"/>
    <x v="11"/>
    <n v="125"/>
    <n v="125"/>
    <n v="110"/>
    <n v="15"/>
    <n v="0"/>
  </r>
  <r>
    <x v="12"/>
    <x v="12"/>
    <n v="62"/>
    <n v="61"/>
    <n v="56"/>
    <n v="5"/>
    <n v="0"/>
  </r>
  <r>
    <x v="12"/>
    <x v="12"/>
    <n v="51"/>
    <n v="48"/>
    <n v="46"/>
    <n v="2"/>
    <n v="0"/>
  </r>
  <r>
    <x v="13"/>
    <x v="13"/>
    <n v="2"/>
    <n v="2"/>
    <n v="2"/>
    <n v="0"/>
    <n v="0"/>
  </r>
  <r>
    <x v="13"/>
    <x v="13"/>
    <n v="3"/>
    <n v="2"/>
    <n v="2"/>
    <n v="0"/>
    <n v="1"/>
  </r>
  <r>
    <x v="13"/>
    <x v="0"/>
    <n v="22"/>
    <n v="20"/>
    <n v="17"/>
    <n v="3"/>
    <n v="0"/>
  </r>
  <r>
    <x v="13"/>
    <x v="0"/>
    <n v="28"/>
    <n v="27"/>
    <n v="27"/>
    <n v="0"/>
    <n v="0"/>
  </r>
  <r>
    <x v="13"/>
    <x v="14"/>
    <n v="1"/>
    <n v="0"/>
    <n v="0"/>
    <n v="0"/>
    <n v="0"/>
  </r>
  <r>
    <x v="13"/>
    <x v="14"/>
    <n v="1"/>
    <n v="0"/>
    <n v="0"/>
    <n v="0"/>
    <n v="0"/>
  </r>
  <r>
    <x v="13"/>
    <x v="1"/>
    <n v="28"/>
    <n v="0"/>
    <n v="0"/>
    <n v="0"/>
    <n v="0"/>
  </r>
  <r>
    <x v="13"/>
    <x v="1"/>
    <n v="3"/>
    <n v="0"/>
    <n v="0"/>
    <n v="0"/>
    <n v="0"/>
  </r>
  <r>
    <x v="13"/>
    <x v="2"/>
    <n v="94"/>
    <n v="90"/>
    <n v="29"/>
    <n v="61"/>
    <n v="0"/>
  </r>
  <r>
    <x v="13"/>
    <x v="2"/>
    <n v="115"/>
    <n v="113"/>
    <n v="104"/>
    <n v="9"/>
    <n v="0"/>
  </r>
  <r>
    <x v="13"/>
    <x v="3"/>
    <n v="157"/>
    <n v="149"/>
    <n v="112"/>
    <n v="37"/>
    <n v="1"/>
  </r>
  <r>
    <x v="13"/>
    <x v="3"/>
    <n v="145"/>
    <n v="140"/>
    <n v="89"/>
    <n v="51"/>
    <n v="1"/>
  </r>
  <r>
    <x v="13"/>
    <x v="4"/>
    <n v="275"/>
    <n v="264"/>
    <n v="207"/>
    <n v="57"/>
    <n v="3"/>
  </r>
  <r>
    <x v="13"/>
    <x v="4"/>
    <n v="217"/>
    <n v="203"/>
    <n v="165"/>
    <n v="38"/>
    <n v="3"/>
  </r>
  <r>
    <x v="13"/>
    <x v="5"/>
    <n v="6"/>
    <n v="6"/>
    <n v="3"/>
    <n v="3"/>
    <n v="0"/>
  </r>
  <r>
    <x v="13"/>
    <x v="5"/>
    <n v="1"/>
    <n v="1"/>
    <n v="1"/>
    <n v="0"/>
    <n v="0"/>
  </r>
  <r>
    <x v="13"/>
    <x v="6"/>
    <n v="305"/>
    <n v="300"/>
    <n v="162"/>
    <n v="138"/>
    <n v="3"/>
  </r>
  <r>
    <x v="13"/>
    <x v="6"/>
    <n v="181"/>
    <n v="175"/>
    <n v="91"/>
    <n v="84"/>
    <n v="0"/>
  </r>
  <r>
    <x v="13"/>
    <x v="7"/>
    <n v="155"/>
    <n v="152"/>
    <n v="147"/>
    <n v="5"/>
    <n v="0"/>
  </r>
  <r>
    <x v="13"/>
    <x v="7"/>
    <n v="111"/>
    <n v="108"/>
    <n v="104"/>
    <n v="4"/>
    <n v="0"/>
  </r>
  <r>
    <x v="13"/>
    <x v="8"/>
    <n v="39"/>
    <n v="34"/>
    <n v="31"/>
    <n v="3"/>
    <n v="0"/>
  </r>
  <r>
    <x v="13"/>
    <x v="8"/>
    <n v="9"/>
    <n v="9"/>
    <n v="6"/>
    <n v="3"/>
    <n v="0"/>
  </r>
  <r>
    <x v="13"/>
    <x v="9"/>
    <n v="80"/>
    <n v="79"/>
    <n v="55"/>
    <n v="24"/>
    <n v="0"/>
  </r>
  <r>
    <x v="13"/>
    <x v="9"/>
    <n v="85"/>
    <n v="79"/>
    <n v="46"/>
    <n v="33"/>
    <n v="3"/>
  </r>
  <r>
    <x v="13"/>
    <x v="10"/>
    <n v="47"/>
    <n v="47"/>
    <n v="42"/>
    <n v="5"/>
    <n v="0"/>
  </r>
  <r>
    <x v="13"/>
    <x v="10"/>
    <n v="19"/>
    <n v="19"/>
    <n v="17"/>
    <n v="2"/>
    <n v="0"/>
  </r>
  <r>
    <x v="13"/>
    <x v="11"/>
    <n v="240"/>
    <n v="239"/>
    <n v="220"/>
    <n v="19"/>
    <n v="1"/>
  </r>
  <r>
    <x v="13"/>
    <x v="11"/>
    <n v="188"/>
    <n v="186"/>
    <n v="151"/>
    <n v="35"/>
    <n v="0"/>
  </r>
  <r>
    <x v="13"/>
    <x v="12"/>
    <n v="66"/>
    <n v="65"/>
    <n v="63"/>
    <n v="2"/>
    <n v="0"/>
  </r>
  <r>
    <x v="13"/>
    <x v="12"/>
    <n v="67"/>
    <n v="67"/>
    <n v="66"/>
    <n v="1"/>
    <n v="0"/>
  </r>
  <r>
    <x v="14"/>
    <x v="0"/>
    <n v="3"/>
    <n v="3"/>
    <n v="2"/>
    <n v="1"/>
    <n v="0"/>
  </r>
  <r>
    <x v="14"/>
    <x v="1"/>
    <n v="30"/>
    <n v="0"/>
    <n v="0"/>
    <n v="0"/>
    <n v="0"/>
  </r>
  <r>
    <x v="14"/>
    <x v="1"/>
    <n v="1"/>
    <n v="0"/>
    <n v="0"/>
    <n v="0"/>
    <n v="0"/>
  </r>
  <r>
    <x v="14"/>
    <x v="2"/>
    <n v="18"/>
    <n v="18"/>
    <n v="4"/>
    <n v="14"/>
    <n v="0"/>
  </r>
  <r>
    <x v="14"/>
    <x v="2"/>
    <n v="3"/>
    <n v="3"/>
    <n v="1"/>
    <n v="2"/>
    <n v="0"/>
  </r>
  <r>
    <x v="14"/>
    <x v="3"/>
    <n v="105"/>
    <n v="101"/>
    <n v="86"/>
    <n v="15"/>
    <n v="4"/>
  </r>
  <r>
    <x v="14"/>
    <x v="3"/>
    <n v="62"/>
    <n v="60"/>
    <n v="38"/>
    <n v="22"/>
    <n v="1"/>
  </r>
  <r>
    <x v="14"/>
    <x v="4"/>
    <n v="196"/>
    <n v="186"/>
    <n v="137"/>
    <n v="49"/>
    <n v="3"/>
  </r>
  <r>
    <x v="14"/>
    <x v="4"/>
    <n v="145"/>
    <n v="128"/>
    <n v="90"/>
    <n v="38"/>
    <n v="5"/>
  </r>
  <r>
    <x v="14"/>
    <x v="6"/>
    <n v="134"/>
    <n v="133"/>
    <n v="109"/>
    <n v="24"/>
    <n v="1"/>
  </r>
  <r>
    <x v="14"/>
    <x v="6"/>
    <n v="30"/>
    <n v="29"/>
    <n v="25"/>
    <n v="4"/>
    <n v="0"/>
  </r>
  <r>
    <x v="14"/>
    <x v="7"/>
    <n v="80"/>
    <n v="79"/>
    <n v="64"/>
    <n v="15"/>
    <n v="1"/>
  </r>
  <r>
    <x v="14"/>
    <x v="7"/>
    <n v="46"/>
    <n v="46"/>
    <n v="46"/>
    <n v="0"/>
    <n v="0"/>
  </r>
  <r>
    <x v="14"/>
    <x v="9"/>
    <n v="47"/>
    <n v="46"/>
    <n v="33"/>
    <n v="13"/>
    <n v="1"/>
  </r>
  <r>
    <x v="14"/>
    <x v="9"/>
    <n v="37"/>
    <n v="35"/>
    <n v="18"/>
    <n v="17"/>
    <n v="0"/>
  </r>
  <r>
    <x v="14"/>
    <x v="10"/>
    <n v="22"/>
    <n v="22"/>
    <n v="18"/>
    <n v="4"/>
    <n v="0"/>
  </r>
  <r>
    <x v="14"/>
    <x v="10"/>
    <n v="10"/>
    <n v="10"/>
    <n v="9"/>
    <n v="1"/>
    <n v="0"/>
  </r>
  <r>
    <x v="14"/>
    <x v="11"/>
    <n v="72"/>
    <n v="72"/>
    <n v="64"/>
    <n v="8"/>
    <n v="0"/>
  </r>
  <r>
    <x v="14"/>
    <x v="11"/>
    <n v="43"/>
    <n v="43"/>
    <n v="38"/>
    <n v="5"/>
    <n v="0"/>
  </r>
  <r>
    <x v="14"/>
    <x v="12"/>
    <n v="4"/>
    <n v="4"/>
    <n v="4"/>
    <n v="0"/>
    <n v="0"/>
  </r>
  <r>
    <x v="14"/>
    <x v="12"/>
    <n v="1"/>
    <n v="1"/>
    <n v="1"/>
    <n v="0"/>
    <n v="0"/>
  </r>
  <r>
    <x v="15"/>
    <x v="13"/>
    <n v="1"/>
    <n v="1"/>
    <n v="0"/>
    <n v="1"/>
    <n v="0"/>
  </r>
  <r>
    <x v="15"/>
    <x v="13"/>
    <n v="2"/>
    <n v="2"/>
    <n v="1"/>
    <n v="1"/>
    <n v="0"/>
  </r>
  <r>
    <x v="15"/>
    <x v="0"/>
    <n v="124"/>
    <n v="91"/>
    <n v="72"/>
    <n v="19"/>
    <n v="0"/>
  </r>
  <r>
    <x v="15"/>
    <x v="0"/>
    <n v="62"/>
    <n v="51"/>
    <n v="45"/>
    <n v="6"/>
    <n v="0"/>
  </r>
  <r>
    <x v="15"/>
    <x v="15"/>
    <n v="2"/>
    <n v="0"/>
    <n v="0"/>
    <n v="0"/>
    <n v="0"/>
  </r>
  <r>
    <x v="15"/>
    <x v="14"/>
    <n v="1"/>
    <n v="0"/>
    <n v="0"/>
    <n v="0"/>
    <n v="0"/>
  </r>
  <r>
    <x v="15"/>
    <x v="1"/>
    <n v="26"/>
    <n v="0"/>
    <n v="0"/>
    <n v="0"/>
    <n v="0"/>
  </r>
  <r>
    <x v="15"/>
    <x v="1"/>
    <n v="1"/>
    <n v="0"/>
    <n v="0"/>
    <n v="0"/>
    <n v="0"/>
  </r>
  <r>
    <x v="15"/>
    <x v="2"/>
    <n v="379"/>
    <n v="345"/>
    <n v="297"/>
    <n v="48"/>
    <n v="2"/>
  </r>
  <r>
    <x v="15"/>
    <x v="2"/>
    <n v="271"/>
    <n v="207"/>
    <n v="139"/>
    <n v="68"/>
    <n v="2"/>
  </r>
  <r>
    <x v="15"/>
    <x v="3"/>
    <n v="638"/>
    <n v="551"/>
    <n v="504"/>
    <n v="47"/>
    <n v="1"/>
  </r>
  <r>
    <x v="15"/>
    <x v="3"/>
    <n v="429"/>
    <n v="369"/>
    <n v="291"/>
    <n v="78"/>
    <n v="0"/>
  </r>
  <r>
    <x v="15"/>
    <x v="4"/>
    <n v="940"/>
    <n v="842"/>
    <n v="764"/>
    <n v="78"/>
    <n v="3"/>
  </r>
  <r>
    <x v="15"/>
    <x v="4"/>
    <n v="664"/>
    <n v="562"/>
    <n v="445"/>
    <n v="117"/>
    <n v="3"/>
  </r>
  <r>
    <x v="15"/>
    <x v="5"/>
    <n v="20"/>
    <n v="20"/>
    <n v="6"/>
    <n v="14"/>
    <n v="0"/>
  </r>
  <r>
    <x v="15"/>
    <x v="5"/>
    <n v="3"/>
    <n v="2"/>
    <n v="1"/>
    <n v="1"/>
    <n v="0"/>
  </r>
  <r>
    <x v="15"/>
    <x v="6"/>
    <n v="1043"/>
    <n v="950"/>
    <n v="752"/>
    <n v="198"/>
    <n v="0"/>
  </r>
  <r>
    <x v="15"/>
    <x v="6"/>
    <n v="778"/>
    <n v="694"/>
    <n v="526"/>
    <n v="168"/>
    <n v="0"/>
  </r>
  <r>
    <x v="15"/>
    <x v="7"/>
    <n v="303"/>
    <n v="292"/>
    <n v="288"/>
    <n v="4"/>
    <n v="0"/>
  </r>
  <r>
    <x v="15"/>
    <x v="7"/>
    <n v="281"/>
    <n v="259"/>
    <n v="256"/>
    <n v="3"/>
    <n v="0"/>
  </r>
  <r>
    <x v="15"/>
    <x v="8"/>
    <n v="219"/>
    <n v="199"/>
    <n v="192"/>
    <n v="7"/>
    <n v="0"/>
  </r>
  <r>
    <x v="15"/>
    <x v="8"/>
    <n v="122"/>
    <n v="110"/>
    <n v="91"/>
    <n v="19"/>
    <n v="0"/>
  </r>
  <r>
    <x v="15"/>
    <x v="9"/>
    <n v="240"/>
    <n v="230"/>
    <n v="191"/>
    <n v="39"/>
    <n v="0"/>
  </r>
  <r>
    <x v="15"/>
    <x v="9"/>
    <n v="167"/>
    <n v="151"/>
    <n v="123"/>
    <n v="28"/>
    <n v="0"/>
  </r>
  <r>
    <x v="15"/>
    <x v="10"/>
    <n v="176"/>
    <n v="170"/>
    <n v="150"/>
    <n v="20"/>
    <n v="0"/>
  </r>
  <r>
    <x v="15"/>
    <x v="10"/>
    <n v="90"/>
    <n v="86"/>
    <n v="77"/>
    <n v="9"/>
    <n v="0"/>
  </r>
  <r>
    <x v="15"/>
    <x v="11"/>
    <n v="890"/>
    <n v="888"/>
    <n v="808"/>
    <n v="80"/>
    <n v="0"/>
  </r>
  <r>
    <x v="15"/>
    <x v="11"/>
    <n v="582"/>
    <n v="569"/>
    <n v="458"/>
    <n v="111"/>
    <n v="0"/>
  </r>
  <r>
    <x v="15"/>
    <x v="12"/>
    <n v="347"/>
    <n v="340"/>
    <n v="252"/>
    <n v="88"/>
    <n v="0"/>
  </r>
  <r>
    <x v="15"/>
    <x v="12"/>
    <n v="113"/>
    <n v="103"/>
    <n v="98"/>
    <n v="5"/>
    <n v="0"/>
  </r>
  <r>
    <x v="16"/>
    <x v="0"/>
    <n v="27"/>
    <n v="18"/>
    <n v="18"/>
    <n v="0"/>
    <n v="0"/>
  </r>
  <r>
    <x v="16"/>
    <x v="0"/>
    <n v="31"/>
    <n v="29"/>
    <n v="29"/>
    <n v="0"/>
    <n v="0"/>
  </r>
  <r>
    <x v="16"/>
    <x v="1"/>
    <n v="8"/>
    <n v="0"/>
    <n v="0"/>
    <n v="0"/>
    <n v="0"/>
  </r>
  <r>
    <x v="16"/>
    <x v="2"/>
    <n v="102"/>
    <n v="97"/>
    <n v="81"/>
    <n v="16"/>
    <n v="1"/>
  </r>
  <r>
    <x v="16"/>
    <x v="2"/>
    <n v="147"/>
    <n v="140"/>
    <n v="101"/>
    <n v="39"/>
    <n v="2"/>
  </r>
  <r>
    <x v="16"/>
    <x v="3"/>
    <n v="179"/>
    <n v="173"/>
    <n v="124"/>
    <n v="49"/>
    <n v="1"/>
  </r>
  <r>
    <x v="16"/>
    <x v="3"/>
    <n v="173"/>
    <n v="167"/>
    <n v="106"/>
    <n v="61"/>
    <n v="0"/>
  </r>
  <r>
    <x v="16"/>
    <x v="4"/>
    <n v="317"/>
    <n v="303"/>
    <n v="230"/>
    <n v="73"/>
    <n v="1"/>
  </r>
  <r>
    <x v="16"/>
    <x v="4"/>
    <n v="234"/>
    <n v="222"/>
    <n v="150"/>
    <n v="72"/>
    <n v="0"/>
  </r>
  <r>
    <x v="16"/>
    <x v="5"/>
    <n v="1"/>
    <n v="1"/>
    <n v="1"/>
    <n v="0"/>
    <n v="0"/>
  </r>
  <r>
    <x v="16"/>
    <x v="6"/>
    <n v="341"/>
    <n v="336"/>
    <n v="276"/>
    <n v="60"/>
    <n v="2"/>
  </r>
  <r>
    <x v="16"/>
    <x v="6"/>
    <n v="271"/>
    <n v="262"/>
    <n v="205"/>
    <n v="57"/>
    <n v="3"/>
  </r>
  <r>
    <x v="16"/>
    <x v="7"/>
    <n v="362"/>
    <n v="360"/>
    <n v="353"/>
    <n v="7"/>
    <n v="0"/>
  </r>
  <r>
    <x v="16"/>
    <x v="7"/>
    <n v="285"/>
    <n v="275"/>
    <n v="270"/>
    <n v="5"/>
    <n v="0"/>
  </r>
  <r>
    <x v="16"/>
    <x v="8"/>
    <n v="45"/>
    <n v="43"/>
    <n v="36"/>
    <n v="7"/>
    <n v="0"/>
  </r>
  <r>
    <x v="16"/>
    <x v="8"/>
    <n v="19"/>
    <n v="19"/>
    <n v="13"/>
    <n v="6"/>
    <n v="0"/>
  </r>
  <r>
    <x v="16"/>
    <x v="9"/>
    <n v="98"/>
    <n v="95"/>
    <n v="64"/>
    <n v="31"/>
    <n v="1"/>
  </r>
  <r>
    <x v="16"/>
    <x v="9"/>
    <n v="63"/>
    <n v="61"/>
    <n v="34"/>
    <n v="27"/>
    <n v="0"/>
  </r>
  <r>
    <x v="16"/>
    <x v="10"/>
    <n v="50"/>
    <n v="50"/>
    <n v="46"/>
    <n v="4"/>
    <n v="0"/>
  </r>
  <r>
    <x v="16"/>
    <x v="10"/>
    <n v="24"/>
    <n v="23"/>
    <n v="18"/>
    <n v="5"/>
    <n v="0"/>
  </r>
  <r>
    <x v="16"/>
    <x v="11"/>
    <n v="296"/>
    <n v="295"/>
    <n v="264"/>
    <n v="31"/>
    <n v="0"/>
  </r>
  <r>
    <x v="16"/>
    <x v="11"/>
    <n v="192"/>
    <n v="192"/>
    <n v="178"/>
    <n v="14"/>
    <n v="0"/>
  </r>
  <r>
    <x v="16"/>
    <x v="12"/>
    <n v="88"/>
    <n v="88"/>
    <n v="40"/>
    <n v="48"/>
    <n v="0"/>
  </r>
  <r>
    <x v="16"/>
    <x v="12"/>
    <n v="72"/>
    <n v="66"/>
    <n v="59"/>
    <n v="7"/>
    <n v="0"/>
  </r>
  <r>
    <x v="17"/>
    <x v="0"/>
    <n v="17"/>
    <n v="14"/>
    <n v="11"/>
    <n v="3"/>
    <n v="0"/>
  </r>
  <r>
    <x v="17"/>
    <x v="0"/>
    <n v="8"/>
    <n v="7"/>
    <n v="6"/>
    <n v="1"/>
    <n v="0"/>
  </r>
  <r>
    <x v="17"/>
    <x v="1"/>
    <n v="2"/>
    <n v="0"/>
    <n v="0"/>
    <n v="0"/>
    <n v="0"/>
  </r>
  <r>
    <x v="17"/>
    <x v="2"/>
    <n v="35"/>
    <n v="35"/>
    <n v="28"/>
    <n v="7"/>
    <n v="0"/>
  </r>
  <r>
    <x v="17"/>
    <x v="2"/>
    <n v="35"/>
    <n v="33"/>
    <n v="24"/>
    <n v="9"/>
    <n v="0"/>
  </r>
  <r>
    <x v="17"/>
    <x v="3"/>
    <n v="75"/>
    <n v="74"/>
    <n v="57"/>
    <n v="17"/>
    <n v="0"/>
  </r>
  <r>
    <x v="17"/>
    <x v="3"/>
    <n v="65"/>
    <n v="65"/>
    <n v="44"/>
    <n v="21"/>
    <n v="0"/>
  </r>
  <r>
    <x v="17"/>
    <x v="4"/>
    <n v="111"/>
    <n v="109"/>
    <n v="94"/>
    <n v="15"/>
    <n v="0"/>
  </r>
  <r>
    <x v="17"/>
    <x v="4"/>
    <n v="85"/>
    <n v="79"/>
    <n v="60"/>
    <n v="19"/>
    <n v="0"/>
  </r>
  <r>
    <x v="17"/>
    <x v="6"/>
    <n v="128"/>
    <n v="126"/>
    <n v="94"/>
    <n v="32"/>
    <n v="0"/>
  </r>
  <r>
    <x v="17"/>
    <x v="6"/>
    <n v="90"/>
    <n v="88"/>
    <n v="65"/>
    <n v="23"/>
    <n v="0"/>
  </r>
  <r>
    <x v="17"/>
    <x v="7"/>
    <n v="37"/>
    <n v="37"/>
    <n v="35"/>
    <n v="2"/>
    <n v="0"/>
  </r>
  <r>
    <x v="17"/>
    <x v="7"/>
    <n v="22"/>
    <n v="21"/>
    <n v="19"/>
    <n v="2"/>
    <n v="0"/>
  </r>
  <r>
    <x v="17"/>
    <x v="8"/>
    <n v="17"/>
    <n v="13"/>
    <n v="10"/>
    <n v="3"/>
    <n v="0"/>
  </r>
  <r>
    <x v="17"/>
    <x v="8"/>
    <n v="1"/>
    <n v="1"/>
    <n v="1"/>
    <n v="0"/>
    <n v="0"/>
  </r>
  <r>
    <x v="17"/>
    <x v="9"/>
    <n v="37"/>
    <n v="37"/>
    <n v="30"/>
    <n v="7"/>
    <n v="0"/>
  </r>
  <r>
    <x v="17"/>
    <x v="9"/>
    <n v="32"/>
    <n v="31"/>
    <n v="24"/>
    <n v="7"/>
    <n v="0"/>
  </r>
  <r>
    <x v="17"/>
    <x v="10"/>
    <n v="16"/>
    <n v="16"/>
    <n v="16"/>
    <n v="0"/>
    <n v="0"/>
  </r>
  <r>
    <x v="17"/>
    <x v="10"/>
    <n v="15"/>
    <n v="15"/>
    <n v="15"/>
    <n v="0"/>
    <n v="0"/>
  </r>
  <r>
    <x v="17"/>
    <x v="11"/>
    <n v="127"/>
    <n v="126"/>
    <n v="104"/>
    <n v="22"/>
    <n v="0"/>
  </r>
  <r>
    <x v="17"/>
    <x v="11"/>
    <n v="89"/>
    <n v="89"/>
    <n v="81"/>
    <n v="8"/>
    <n v="0"/>
  </r>
  <r>
    <x v="17"/>
    <x v="12"/>
    <n v="30"/>
    <n v="30"/>
    <n v="28"/>
    <n v="2"/>
    <n v="0"/>
  </r>
  <r>
    <x v="17"/>
    <x v="12"/>
    <n v="23"/>
    <n v="21"/>
    <n v="21"/>
    <n v="0"/>
    <n v="0"/>
  </r>
  <r>
    <x v="18"/>
    <x v="0"/>
    <n v="4"/>
    <n v="3"/>
    <n v="2"/>
    <n v="1"/>
    <n v="0"/>
  </r>
  <r>
    <x v="18"/>
    <x v="0"/>
    <n v="10"/>
    <n v="10"/>
    <n v="10"/>
    <n v="0"/>
    <n v="0"/>
  </r>
  <r>
    <x v="18"/>
    <x v="1"/>
    <n v="3"/>
    <n v="0"/>
    <n v="0"/>
    <n v="0"/>
    <n v="0"/>
  </r>
  <r>
    <x v="18"/>
    <x v="2"/>
    <n v="52"/>
    <n v="48"/>
    <n v="37"/>
    <n v="11"/>
    <n v="0"/>
  </r>
  <r>
    <x v="18"/>
    <x v="2"/>
    <n v="33"/>
    <n v="29"/>
    <n v="17"/>
    <n v="12"/>
    <n v="0"/>
  </r>
  <r>
    <x v="18"/>
    <x v="3"/>
    <n v="73"/>
    <n v="70"/>
    <n v="39"/>
    <n v="31"/>
    <n v="0"/>
  </r>
  <r>
    <x v="18"/>
    <x v="3"/>
    <n v="93"/>
    <n v="84"/>
    <n v="70"/>
    <n v="14"/>
    <n v="0"/>
  </r>
  <r>
    <x v="18"/>
    <x v="4"/>
    <n v="138"/>
    <n v="129"/>
    <n v="107"/>
    <n v="22"/>
    <n v="0"/>
  </r>
  <r>
    <x v="18"/>
    <x v="4"/>
    <n v="114"/>
    <n v="103"/>
    <n v="78"/>
    <n v="25"/>
    <n v="0"/>
  </r>
  <r>
    <x v="18"/>
    <x v="5"/>
    <n v="2"/>
    <n v="2"/>
    <n v="1"/>
    <n v="1"/>
    <n v="0"/>
  </r>
  <r>
    <x v="18"/>
    <x v="5"/>
    <n v="1"/>
    <n v="1"/>
    <n v="0"/>
    <n v="1"/>
    <n v="0"/>
  </r>
  <r>
    <x v="18"/>
    <x v="6"/>
    <n v="178"/>
    <n v="171"/>
    <n v="141"/>
    <n v="30"/>
    <n v="0"/>
  </r>
  <r>
    <x v="18"/>
    <x v="6"/>
    <n v="259"/>
    <n v="253"/>
    <n v="188"/>
    <n v="65"/>
    <n v="1"/>
  </r>
  <r>
    <x v="18"/>
    <x v="7"/>
    <n v="92"/>
    <n v="90"/>
    <n v="90"/>
    <n v="0"/>
    <n v="0"/>
  </r>
  <r>
    <x v="18"/>
    <x v="7"/>
    <n v="69"/>
    <n v="66"/>
    <n v="66"/>
    <n v="0"/>
    <n v="0"/>
  </r>
  <r>
    <x v="18"/>
    <x v="8"/>
    <n v="13"/>
    <n v="13"/>
    <n v="11"/>
    <n v="2"/>
    <n v="0"/>
  </r>
  <r>
    <x v="18"/>
    <x v="8"/>
    <n v="7"/>
    <n v="6"/>
    <n v="2"/>
    <n v="4"/>
    <n v="0"/>
  </r>
  <r>
    <x v="18"/>
    <x v="9"/>
    <n v="23"/>
    <n v="22"/>
    <n v="22"/>
    <n v="0"/>
    <n v="0"/>
  </r>
  <r>
    <x v="18"/>
    <x v="9"/>
    <n v="28"/>
    <n v="27"/>
    <n v="23"/>
    <n v="4"/>
    <n v="0"/>
  </r>
  <r>
    <x v="18"/>
    <x v="10"/>
    <n v="15"/>
    <n v="15"/>
    <n v="15"/>
    <n v="0"/>
    <n v="0"/>
  </r>
  <r>
    <x v="18"/>
    <x v="10"/>
    <n v="7"/>
    <n v="7"/>
    <n v="7"/>
    <n v="0"/>
    <n v="0"/>
  </r>
  <r>
    <x v="18"/>
    <x v="11"/>
    <n v="97"/>
    <n v="95"/>
    <n v="76"/>
    <n v="19"/>
    <n v="0"/>
  </r>
  <r>
    <x v="18"/>
    <x v="11"/>
    <n v="126"/>
    <n v="123"/>
    <n v="102"/>
    <n v="21"/>
    <n v="1"/>
  </r>
  <r>
    <x v="18"/>
    <x v="12"/>
    <n v="12"/>
    <n v="10"/>
    <n v="10"/>
    <n v="0"/>
    <n v="0"/>
  </r>
  <r>
    <x v="18"/>
    <x v="12"/>
    <n v="5"/>
    <n v="0"/>
    <n v="0"/>
    <n v="0"/>
    <n v="0"/>
  </r>
  <r>
    <x v="19"/>
    <x v="0"/>
    <n v="23"/>
    <n v="21"/>
    <n v="15"/>
    <n v="6"/>
    <n v="0"/>
  </r>
  <r>
    <x v="19"/>
    <x v="0"/>
    <n v="9"/>
    <n v="9"/>
    <n v="7"/>
    <n v="2"/>
    <n v="0"/>
  </r>
  <r>
    <x v="19"/>
    <x v="14"/>
    <n v="1"/>
    <n v="0"/>
    <n v="0"/>
    <n v="0"/>
    <n v="0"/>
  </r>
  <r>
    <x v="19"/>
    <x v="2"/>
    <n v="47"/>
    <n v="45"/>
    <n v="39"/>
    <n v="6"/>
    <n v="0"/>
  </r>
  <r>
    <x v="19"/>
    <x v="2"/>
    <n v="26"/>
    <n v="26"/>
    <n v="19"/>
    <n v="7"/>
    <n v="0"/>
  </r>
  <r>
    <x v="19"/>
    <x v="3"/>
    <n v="95"/>
    <n v="92"/>
    <n v="58"/>
    <n v="34"/>
    <n v="0"/>
  </r>
  <r>
    <x v="19"/>
    <x v="3"/>
    <n v="73"/>
    <n v="73"/>
    <n v="67"/>
    <n v="6"/>
    <n v="0"/>
  </r>
  <r>
    <x v="19"/>
    <x v="4"/>
    <n v="164"/>
    <n v="161"/>
    <n v="136"/>
    <n v="25"/>
    <n v="1"/>
  </r>
  <r>
    <x v="19"/>
    <x v="4"/>
    <n v="112"/>
    <n v="107"/>
    <n v="90"/>
    <n v="17"/>
    <n v="0"/>
  </r>
  <r>
    <x v="19"/>
    <x v="6"/>
    <n v="120"/>
    <n v="116"/>
    <n v="97"/>
    <n v="19"/>
    <n v="0"/>
  </r>
  <r>
    <x v="19"/>
    <x v="6"/>
    <n v="125"/>
    <n v="121"/>
    <n v="100"/>
    <n v="21"/>
    <n v="0"/>
  </r>
  <r>
    <x v="19"/>
    <x v="7"/>
    <n v="56"/>
    <n v="55"/>
    <n v="53"/>
    <n v="2"/>
    <n v="0"/>
  </r>
  <r>
    <x v="19"/>
    <x v="7"/>
    <n v="59"/>
    <n v="58"/>
    <n v="55"/>
    <n v="3"/>
    <n v="0"/>
  </r>
  <r>
    <x v="19"/>
    <x v="8"/>
    <n v="41"/>
    <n v="41"/>
    <n v="36"/>
    <n v="5"/>
    <n v="0"/>
  </r>
  <r>
    <x v="19"/>
    <x v="8"/>
    <n v="11"/>
    <n v="8"/>
    <n v="7"/>
    <n v="1"/>
    <n v="1"/>
  </r>
  <r>
    <x v="19"/>
    <x v="9"/>
    <n v="59"/>
    <n v="59"/>
    <n v="54"/>
    <n v="5"/>
    <n v="0"/>
  </r>
  <r>
    <x v="19"/>
    <x v="9"/>
    <n v="31"/>
    <n v="30"/>
    <n v="23"/>
    <n v="7"/>
    <n v="0"/>
  </r>
  <r>
    <x v="19"/>
    <x v="10"/>
    <n v="35"/>
    <n v="35"/>
    <n v="35"/>
    <n v="0"/>
    <n v="0"/>
  </r>
  <r>
    <x v="19"/>
    <x v="10"/>
    <n v="6"/>
    <n v="6"/>
    <n v="5"/>
    <n v="1"/>
    <n v="0"/>
  </r>
  <r>
    <x v="19"/>
    <x v="11"/>
    <n v="136"/>
    <n v="135"/>
    <n v="112"/>
    <n v="23"/>
    <n v="0"/>
  </r>
  <r>
    <x v="19"/>
    <x v="11"/>
    <n v="85"/>
    <n v="85"/>
    <n v="72"/>
    <n v="13"/>
    <n v="0"/>
  </r>
  <r>
    <x v="19"/>
    <x v="12"/>
    <n v="38"/>
    <n v="33"/>
    <n v="31"/>
    <n v="2"/>
    <n v="0"/>
  </r>
  <r>
    <x v="19"/>
    <x v="12"/>
    <n v="11"/>
    <n v="7"/>
    <n v="6"/>
    <n v="1"/>
    <n v="0"/>
  </r>
  <r>
    <x v="20"/>
    <x v="0"/>
    <n v="16"/>
    <n v="16"/>
    <n v="14"/>
    <n v="2"/>
    <n v="0"/>
  </r>
  <r>
    <x v="20"/>
    <x v="0"/>
    <n v="12"/>
    <n v="12"/>
    <n v="12"/>
    <n v="0"/>
    <n v="0"/>
  </r>
  <r>
    <x v="20"/>
    <x v="1"/>
    <n v="5"/>
    <n v="0"/>
    <n v="0"/>
    <n v="0"/>
    <n v="0"/>
  </r>
  <r>
    <x v="20"/>
    <x v="2"/>
    <n v="127"/>
    <n v="125"/>
    <n v="120"/>
    <n v="5"/>
    <n v="0"/>
  </r>
  <r>
    <x v="20"/>
    <x v="2"/>
    <n v="78"/>
    <n v="78"/>
    <n v="66"/>
    <n v="12"/>
    <n v="0"/>
  </r>
  <r>
    <x v="20"/>
    <x v="3"/>
    <n v="133"/>
    <n v="133"/>
    <n v="107"/>
    <n v="26"/>
    <n v="0"/>
  </r>
  <r>
    <x v="20"/>
    <x v="3"/>
    <n v="100"/>
    <n v="100"/>
    <n v="77"/>
    <n v="23"/>
    <n v="0"/>
  </r>
  <r>
    <x v="20"/>
    <x v="4"/>
    <n v="276"/>
    <n v="265"/>
    <n v="238"/>
    <n v="27"/>
    <n v="0"/>
  </r>
  <r>
    <x v="20"/>
    <x v="4"/>
    <n v="141"/>
    <n v="132"/>
    <n v="103"/>
    <n v="29"/>
    <n v="1"/>
  </r>
  <r>
    <x v="20"/>
    <x v="6"/>
    <n v="219"/>
    <n v="219"/>
    <n v="164"/>
    <n v="55"/>
    <n v="0"/>
  </r>
  <r>
    <x v="20"/>
    <x v="6"/>
    <n v="154"/>
    <n v="153"/>
    <n v="149"/>
    <n v="4"/>
    <n v="1"/>
  </r>
  <r>
    <x v="20"/>
    <x v="7"/>
    <n v="60"/>
    <n v="60"/>
    <n v="60"/>
    <n v="0"/>
    <n v="0"/>
  </r>
  <r>
    <x v="20"/>
    <x v="7"/>
    <n v="39"/>
    <n v="37"/>
    <n v="37"/>
    <n v="0"/>
    <n v="1"/>
  </r>
  <r>
    <x v="20"/>
    <x v="8"/>
    <n v="26"/>
    <n v="26"/>
    <n v="24"/>
    <n v="2"/>
    <n v="0"/>
  </r>
  <r>
    <x v="20"/>
    <x v="8"/>
    <n v="15"/>
    <n v="14"/>
    <n v="14"/>
    <n v="0"/>
    <n v="1"/>
  </r>
  <r>
    <x v="20"/>
    <x v="9"/>
    <n v="59"/>
    <n v="58"/>
    <n v="51"/>
    <n v="7"/>
    <n v="0"/>
  </r>
  <r>
    <x v="20"/>
    <x v="9"/>
    <n v="14"/>
    <n v="14"/>
    <n v="14"/>
    <n v="0"/>
    <n v="0"/>
  </r>
  <r>
    <x v="20"/>
    <x v="10"/>
    <n v="25"/>
    <n v="23"/>
    <n v="23"/>
    <n v="0"/>
    <n v="0"/>
  </r>
  <r>
    <x v="20"/>
    <x v="10"/>
    <n v="6"/>
    <n v="6"/>
    <n v="6"/>
    <n v="0"/>
    <n v="0"/>
  </r>
  <r>
    <x v="20"/>
    <x v="11"/>
    <n v="212"/>
    <n v="211"/>
    <n v="207"/>
    <n v="4"/>
    <n v="0"/>
  </r>
  <r>
    <x v="20"/>
    <x v="11"/>
    <n v="149"/>
    <n v="147"/>
    <n v="128"/>
    <n v="19"/>
    <n v="1"/>
  </r>
  <r>
    <x v="20"/>
    <x v="12"/>
    <n v="122"/>
    <n v="122"/>
    <n v="122"/>
    <n v="0"/>
    <n v="0"/>
  </r>
  <r>
    <x v="20"/>
    <x v="12"/>
    <n v="57"/>
    <n v="56"/>
    <n v="56"/>
    <n v="0"/>
    <n v="0"/>
  </r>
  <r>
    <x v="21"/>
    <x v="0"/>
    <n v="13"/>
    <n v="11"/>
    <n v="10"/>
    <n v="1"/>
    <n v="0"/>
  </r>
  <r>
    <x v="21"/>
    <x v="0"/>
    <n v="9"/>
    <n v="8"/>
    <n v="8"/>
    <n v="0"/>
    <n v="1"/>
  </r>
  <r>
    <x v="21"/>
    <x v="1"/>
    <n v="4"/>
    <n v="0"/>
    <n v="0"/>
    <n v="0"/>
    <n v="0"/>
  </r>
  <r>
    <x v="21"/>
    <x v="2"/>
    <n v="75"/>
    <n v="69"/>
    <n v="69"/>
    <n v="0"/>
    <n v="5"/>
  </r>
  <r>
    <x v="21"/>
    <x v="2"/>
    <n v="18"/>
    <n v="14"/>
    <n v="13"/>
    <n v="1"/>
    <n v="4"/>
  </r>
  <r>
    <x v="21"/>
    <x v="3"/>
    <n v="159"/>
    <n v="140"/>
    <n v="109"/>
    <n v="31"/>
    <n v="18"/>
  </r>
  <r>
    <x v="21"/>
    <x v="3"/>
    <n v="130"/>
    <n v="108"/>
    <n v="102"/>
    <n v="6"/>
    <n v="19"/>
  </r>
  <r>
    <x v="21"/>
    <x v="4"/>
    <n v="179"/>
    <n v="175"/>
    <n v="164"/>
    <n v="11"/>
    <n v="2"/>
  </r>
  <r>
    <x v="21"/>
    <x v="4"/>
    <n v="122"/>
    <n v="114"/>
    <n v="108"/>
    <n v="6"/>
    <n v="3"/>
  </r>
  <r>
    <x v="21"/>
    <x v="6"/>
    <n v="334"/>
    <n v="330"/>
    <n v="271"/>
    <n v="59"/>
    <n v="3"/>
  </r>
  <r>
    <x v="21"/>
    <x v="6"/>
    <n v="220"/>
    <n v="212"/>
    <n v="200"/>
    <n v="12"/>
    <n v="5"/>
  </r>
  <r>
    <x v="21"/>
    <x v="7"/>
    <n v="157"/>
    <n v="157"/>
    <n v="157"/>
    <n v="0"/>
    <n v="0"/>
  </r>
  <r>
    <x v="21"/>
    <x v="7"/>
    <n v="59"/>
    <n v="57"/>
    <n v="57"/>
    <n v="0"/>
    <n v="1"/>
  </r>
  <r>
    <x v="21"/>
    <x v="8"/>
    <n v="57"/>
    <n v="53"/>
    <n v="47"/>
    <n v="6"/>
    <n v="2"/>
  </r>
  <r>
    <x v="21"/>
    <x v="8"/>
    <n v="32"/>
    <n v="28"/>
    <n v="23"/>
    <n v="5"/>
    <n v="0"/>
  </r>
  <r>
    <x v="21"/>
    <x v="9"/>
    <n v="117"/>
    <n v="86"/>
    <n v="85"/>
    <n v="1"/>
    <n v="1"/>
  </r>
  <r>
    <x v="21"/>
    <x v="9"/>
    <n v="44"/>
    <n v="19"/>
    <n v="18"/>
    <n v="1"/>
    <n v="0"/>
  </r>
  <r>
    <x v="21"/>
    <x v="10"/>
    <n v="102"/>
    <n v="76"/>
    <n v="75"/>
    <n v="1"/>
    <n v="0"/>
  </r>
  <r>
    <x v="21"/>
    <x v="10"/>
    <n v="17"/>
    <n v="5"/>
    <n v="5"/>
    <n v="0"/>
    <n v="0"/>
  </r>
  <r>
    <x v="21"/>
    <x v="11"/>
    <n v="401"/>
    <n v="400"/>
    <n v="356"/>
    <n v="44"/>
    <n v="1"/>
  </r>
  <r>
    <x v="21"/>
    <x v="11"/>
    <n v="271"/>
    <n v="269"/>
    <n v="214"/>
    <n v="55"/>
    <n v="0"/>
  </r>
  <r>
    <x v="21"/>
    <x v="12"/>
    <n v="69"/>
    <n v="61"/>
    <n v="60"/>
    <n v="1"/>
    <n v="0"/>
  </r>
  <r>
    <x v="21"/>
    <x v="12"/>
    <n v="13"/>
    <n v="11"/>
    <n v="11"/>
    <n v="0"/>
    <n v="0"/>
  </r>
  <r>
    <x v="22"/>
    <x v="0"/>
    <n v="31"/>
    <n v="31"/>
    <n v="29"/>
    <n v="2"/>
    <n v="0"/>
  </r>
  <r>
    <x v="22"/>
    <x v="0"/>
    <n v="7"/>
    <n v="7"/>
    <n v="7"/>
    <n v="0"/>
    <n v="0"/>
  </r>
  <r>
    <x v="22"/>
    <x v="1"/>
    <n v="1"/>
    <n v="0"/>
    <n v="0"/>
    <n v="0"/>
    <n v="0"/>
  </r>
  <r>
    <x v="22"/>
    <x v="2"/>
    <n v="35"/>
    <n v="31"/>
    <n v="29"/>
    <n v="2"/>
    <n v="1"/>
  </r>
  <r>
    <x v="22"/>
    <x v="2"/>
    <n v="6"/>
    <n v="5"/>
    <n v="4"/>
    <n v="1"/>
    <n v="0"/>
  </r>
  <r>
    <x v="22"/>
    <x v="3"/>
    <n v="171"/>
    <n v="168"/>
    <n v="136"/>
    <n v="32"/>
    <n v="0"/>
  </r>
  <r>
    <x v="22"/>
    <x v="3"/>
    <n v="155"/>
    <n v="150"/>
    <n v="114"/>
    <n v="36"/>
    <n v="0"/>
  </r>
  <r>
    <x v="22"/>
    <x v="4"/>
    <n v="318"/>
    <n v="289"/>
    <n v="269"/>
    <n v="20"/>
    <n v="12"/>
  </r>
  <r>
    <x v="22"/>
    <x v="4"/>
    <n v="232"/>
    <n v="217"/>
    <n v="197"/>
    <n v="20"/>
    <n v="7"/>
  </r>
  <r>
    <x v="22"/>
    <x v="5"/>
    <n v="1"/>
    <n v="1"/>
    <n v="1"/>
    <n v="0"/>
    <n v="0"/>
  </r>
  <r>
    <x v="22"/>
    <x v="6"/>
    <n v="618"/>
    <n v="502"/>
    <n v="468"/>
    <n v="34"/>
    <n v="3"/>
  </r>
  <r>
    <x v="22"/>
    <x v="6"/>
    <n v="478"/>
    <n v="474"/>
    <n v="436"/>
    <n v="38"/>
    <n v="4"/>
  </r>
  <r>
    <x v="22"/>
    <x v="7"/>
    <n v="85"/>
    <n v="85"/>
    <n v="85"/>
    <n v="0"/>
    <n v="0"/>
  </r>
  <r>
    <x v="22"/>
    <x v="7"/>
    <n v="41"/>
    <n v="36"/>
    <n v="36"/>
    <n v="0"/>
    <n v="4"/>
  </r>
  <r>
    <x v="22"/>
    <x v="8"/>
    <n v="39"/>
    <n v="36"/>
    <n v="35"/>
    <n v="1"/>
    <n v="0"/>
  </r>
  <r>
    <x v="22"/>
    <x v="8"/>
    <n v="34"/>
    <n v="34"/>
    <n v="33"/>
    <n v="1"/>
    <n v="0"/>
  </r>
  <r>
    <x v="22"/>
    <x v="9"/>
    <n v="48"/>
    <n v="48"/>
    <n v="42"/>
    <n v="6"/>
    <n v="0"/>
  </r>
  <r>
    <x v="22"/>
    <x v="9"/>
    <n v="32"/>
    <n v="31"/>
    <n v="22"/>
    <n v="9"/>
    <n v="0"/>
  </r>
  <r>
    <x v="22"/>
    <x v="10"/>
    <n v="39"/>
    <n v="39"/>
    <n v="37"/>
    <n v="2"/>
    <n v="0"/>
  </r>
  <r>
    <x v="22"/>
    <x v="10"/>
    <n v="20"/>
    <n v="20"/>
    <n v="18"/>
    <n v="2"/>
    <n v="0"/>
  </r>
  <r>
    <x v="22"/>
    <x v="11"/>
    <n v="272"/>
    <n v="271"/>
    <n v="232"/>
    <n v="39"/>
    <n v="1"/>
  </r>
  <r>
    <x v="22"/>
    <x v="11"/>
    <n v="189"/>
    <n v="189"/>
    <n v="177"/>
    <n v="12"/>
    <n v="0"/>
  </r>
  <r>
    <x v="22"/>
    <x v="12"/>
    <n v="31"/>
    <n v="28"/>
    <n v="24"/>
    <n v="4"/>
    <n v="1"/>
  </r>
  <r>
    <x v="22"/>
    <x v="12"/>
    <n v="3"/>
    <n v="2"/>
    <n v="2"/>
    <n v="0"/>
    <n v="0"/>
  </r>
  <r>
    <x v="23"/>
    <x v="0"/>
    <n v="13"/>
    <n v="13"/>
    <n v="11"/>
    <n v="2"/>
    <n v="0"/>
  </r>
  <r>
    <x v="23"/>
    <x v="0"/>
    <n v="11"/>
    <n v="11"/>
    <n v="9"/>
    <n v="2"/>
    <n v="0"/>
  </r>
  <r>
    <x v="23"/>
    <x v="1"/>
    <n v="5"/>
    <n v="0"/>
    <n v="0"/>
    <n v="0"/>
    <n v="0"/>
  </r>
  <r>
    <x v="23"/>
    <x v="2"/>
    <n v="34"/>
    <n v="34"/>
    <n v="24"/>
    <n v="10"/>
    <n v="0"/>
  </r>
  <r>
    <x v="23"/>
    <x v="2"/>
    <n v="9"/>
    <n v="8"/>
    <n v="8"/>
    <n v="0"/>
    <n v="0"/>
  </r>
  <r>
    <x v="23"/>
    <x v="3"/>
    <n v="64"/>
    <n v="63"/>
    <n v="56"/>
    <n v="7"/>
    <n v="0"/>
  </r>
  <r>
    <x v="23"/>
    <x v="3"/>
    <n v="40"/>
    <n v="39"/>
    <n v="28"/>
    <n v="11"/>
    <n v="0"/>
  </r>
  <r>
    <x v="23"/>
    <x v="4"/>
    <n v="113"/>
    <n v="109"/>
    <n v="87"/>
    <n v="22"/>
    <n v="0"/>
  </r>
  <r>
    <x v="23"/>
    <x v="4"/>
    <n v="71"/>
    <n v="69"/>
    <n v="49"/>
    <n v="20"/>
    <n v="0"/>
  </r>
  <r>
    <x v="23"/>
    <x v="5"/>
    <n v="1"/>
    <n v="1"/>
    <n v="1"/>
    <n v="0"/>
    <n v="0"/>
  </r>
  <r>
    <x v="23"/>
    <x v="6"/>
    <n v="441"/>
    <n v="436"/>
    <n v="319"/>
    <n v="117"/>
    <n v="0"/>
  </r>
  <r>
    <x v="23"/>
    <x v="6"/>
    <n v="74"/>
    <n v="72"/>
    <n v="51"/>
    <n v="21"/>
    <n v="1"/>
  </r>
  <r>
    <x v="23"/>
    <x v="7"/>
    <n v="79"/>
    <n v="79"/>
    <n v="79"/>
    <n v="0"/>
    <n v="0"/>
  </r>
  <r>
    <x v="23"/>
    <x v="7"/>
    <n v="34"/>
    <n v="34"/>
    <n v="34"/>
    <n v="0"/>
    <n v="0"/>
  </r>
  <r>
    <x v="23"/>
    <x v="8"/>
    <n v="27"/>
    <n v="25"/>
    <n v="18"/>
    <n v="7"/>
    <n v="0"/>
  </r>
  <r>
    <x v="23"/>
    <x v="8"/>
    <n v="12"/>
    <n v="11"/>
    <n v="7"/>
    <n v="4"/>
    <n v="0"/>
  </r>
  <r>
    <x v="23"/>
    <x v="9"/>
    <n v="24"/>
    <n v="23"/>
    <n v="15"/>
    <n v="8"/>
    <n v="0"/>
  </r>
  <r>
    <x v="23"/>
    <x v="9"/>
    <n v="20"/>
    <n v="19"/>
    <n v="11"/>
    <n v="8"/>
    <n v="0"/>
  </r>
  <r>
    <x v="23"/>
    <x v="10"/>
    <n v="13"/>
    <n v="13"/>
    <n v="13"/>
    <n v="0"/>
    <n v="0"/>
  </r>
  <r>
    <x v="23"/>
    <x v="10"/>
    <n v="4"/>
    <n v="4"/>
    <n v="4"/>
    <n v="0"/>
    <n v="0"/>
  </r>
  <r>
    <x v="23"/>
    <x v="11"/>
    <n v="223"/>
    <n v="222"/>
    <n v="212"/>
    <n v="10"/>
    <n v="0"/>
  </r>
  <r>
    <x v="23"/>
    <x v="11"/>
    <n v="82"/>
    <n v="82"/>
    <n v="63"/>
    <n v="19"/>
    <n v="0"/>
  </r>
  <r>
    <x v="23"/>
    <x v="12"/>
    <n v="31"/>
    <n v="23"/>
    <n v="23"/>
    <n v="0"/>
    <n v="0"/>
  </r>
  <r>
    <x v="23"/>
    <x v="12"/>
    <n v="8"/>
    <n v="5"/>
    <n v="4"/>
    <n v="1"/>
    <n v="0"/>
  </r>
  <r>
    <x v="24"/>
    <x v="0"/>
    <n v="17"/>
    <n v="14"/>
    <n v="14"/>
    <n v="0"/>
    <n v="0"/>
  </r>
  <r>
    <x v="24"/>
    <x v="0"/>
    <n v="9"/>
    <n v="9"/>
    <n v="7"/>
    <n v="2"/>
    <n v="0"/>
  </r>
  <r>
    <x v="24"/>
    <x v="1"/>
    <n v="3"/>
    <n v="0"/>
    <n v="0"/>
    <n v="0"/>
    <n v="0"/>
  </r>
  <r>
    <x v="24"/>
    <x v="1"/>
    <n v="1"/>
    <n v="0"/>
    <n v="0"/>
    <n v="0"/>
    <n v="0"/>
  </r>
  <r>
    <x v="24"/>
    <x v="2"/>
    <n v="41"/>
    <n v="41"/>
    <n v="38"/>
    <n v="3"/>
    <n v="0"/>
  </r>
  <r>
    <x v="24"/>
    <x v="2"/>
    <n v="34"/>
    <n v="32"/>
    <n v="30"/>
    <n v="2"/>
    <n v="0"/>
  </r>
  <r>
    <x v="24"/>
    <x v="3"/>
    <n v="91"/>
    <n v="91"/>
    <n v="76"/>
    <n v="15"/>
    <n v="0"/>
  </r>
  <r>
    <x v="24"/>
    <x v="3"/>
    <n v="69"/>
    <n v="67"/>
    <n v="61"/>
    <n v="6"/>
    <n v="1"/>
  </r>
  <r>
    <x v="24"/>
    <x v="4"/>
    <n v="183"/>
    <n v="179"/>
    <n v="158"/>
    <n v="21"/>
    <n v="2"/>
  </r>
  <r>
    <x v="24"/>
    <x v="4"/>
    <n v="145"/>
    <n v="138"/>
    <n v="102"/>
    <n v="36"/>
    <n v="1"/>
  </r>
  <r>
    <x v="24"/>
    <x v="6"/>
    <n v="178"/>
    <n v="175"/>
    <n v="159"/>
    <n v="16"/>
    <n v="2"/>
  </r>
  <r>
    <x v="24"/>
    <x v="6"/>
    <n v="94"/>
    <n v="94"/>
    <n v="74"/>
    <n v="20"/>
    <n v="0"/>
  </r>
  <r>
    <x v="24"/>
    <x v="7"/>
    <n v="33"/>
    <n v="30"/>
    <n v="30"/>
    <n v="0"/>
    <n v="0"/>
  </r>
  <r>
    <x v="24"/>
    <x v="7"/>
    <n v="34"/>
    <n v="28"/>
    <n v="27"/>
    <n v="1"/>
    <n v="0"/>
  </r>
  <r>
    <x v="24"/>
    <x v="8"/>
    <n v="16"/>
    <n v="14"/>
    <n v="9"/>
    <n v="5"/>
    <n v="0"/>
  </r>
  <r>
    <x v="24"/>
    <x v="9"/>
    <n v="43"/>
    <n v="43"/>
    <n v="43"/>
    <n v="0"/>
    <n v="0"/>
  </r>
  <r>
    <x v="24"/>
    <x v="9"/>
    <n v="23"/>
    <n v="23"/>
    <n v="23"/>
    <n v="0"/>
    <n v="0"/>
  </r>
  <r>
    <x v="24"/>
    <x v="10"/>
    <n v="20"/>
    <n v="20"/>
    <n v="20"/>
    <n v="0"/>
    <n v="0"/>
  </r>
  <r>
    <x v="24"/>
    <x v="10"/>
    <n v="8"/>
    <n v="7"/>
    <n v="7"/>
    <n v="0"/>
    <n v="0"/>
  </r>
  <r>
    <x v="24"/>
    <x v="11"/>
    <n v="235"/>
    <n v="234"/>
    <n v="217"/>
    <n v="17"/>
    <n v="1"/>
  </r>
  <r>
    <x v="24"/>
    <x v="11"/>
    <n v="121"/>
    <n v="120"/>
    <n v="95"/>
    <n v="25"/>
    <n v="0"/>
  </r>
  <r>
    <x v="24"/>
    <x v="12"/>
    <n v="2"/>
    <n v="2"/>
    <n v="2"/>
    <n v="0"/>
    <n v="0"/>
  </r>
  <r>
    <x v="25"/>
    <x v="0"/>
    <n v="28"/>
    <n v="23"/>
    <n v="19"/>
    <n v="4"/>
    <n v="0"/>
  </r>
  <r>
    <x v="25"/>
    <x v="0"/>
    <n v="20"/>
    <n v="17"/>
    <n v="17"/>
    <n v="0"/>
    <n v="0"/>
  </r>
  <r>
    <x v="25"/>
    <x v="1"/>
    <n v="6"/>
    <n v="0"/>
    <n v="0"/>
    <n v="0"/>
    <n v="0"/>
  </r>
  <r>
    <x v="25"/>
    <x v="1"/>
    <n v="3"/>
    <n v="0"/>
    <n v="0"/>
    <n v="0"/>
    <n v="0"/>
  </r>
  <r>
    <x v="25"/>
    <x v="2"/>
    <n v="237"/>
    <n v="236"/>
    <n v="225"/>
    <n v="11"/>
    <n v="1"/>
  </r>
  <r>
    <x v="25"/>
    <x v="2"/>
    <n v="161"/>
    <n v="159"/>
    <n v="144"/>
    <n v="15"/>
    <n v="1"/>
  </r>
  <r>
    <x v="25"/>
    <x v="3"/>
    <n v="199"/>
    <n v="199"/>
    <n v="188"/>
    <n v="11"/>
    <n v="0"/>
  </r>
  <r>
    <x v="25"/>
    <x v="3"/>
    <n v="197"/>
    <n v="195"/>
    <n v="160"/>
    <n v="35"/>
    <n v="0"/>
  </r>
  <r>
    <x v="25"/>
    <x v="4"/>
    <n v="384"/>
    <n v="371"/>
    <n v="309"/>
    <n v="62"/>
    <n v="2"/>
  </r>
  <r>
    <x v="25"/>
    <x v="4"/>
    <n v="320"/>
    <n v="315"/>
    <n v="251"/>
    <n v="64"/>
    <n v="1"/>
  </r>
  <r>
    <x v="25"/>
    <x v="5"/>
    <n v="1"/>
    <n v="1"/>
    <n v="1"/>
    <n v="0"/>
    <n v="0"/>
  </r>
  <r>
    <x v="25"/>
    <x v="6"/>
    <n v="260"/>
    <n v="256"/>
    <n v="234"/>
    <n v="22"/>
    <n v="3"/>
  </r>
  <r>
    <x v="25"/>
    <x v="6"/>
    <n v="191"/>
    <n v="188"/>
    <n v="145"/>
    <n v="43"/>
    <n v="1"/>
  </r>
  <r>
    <x v="25"/>
    <x v="7"/>
    <n v="96"/>
    <n v="95"/>
    <n v="95"/>
    <n v="0"/>
    <n v="1"/>
  </r>
  <r>
    <x v="25"/>
    <x v="7"/>
    <n v="61"/>
    <n v="61"/>
    <n v="61"/>
    <n v="0"/>
    <n v="0"/>
  </r>
  <r>
    <x v="25"/>
    <x v="9"/>
    <n v="180"/>
    <n v="179"/>
    <n v="165"/>
    <n v="14"/>
    <n v="0"/>
  </r>
  <r>
    <x v="25"/>
    <x v="9"/>
    <n v="91"/>
    <n v="91"/>
    <n v="67"/>
    <n v="24"/>
    <n v="0"/>
  </r>
  <r>
    <x v="25"/>
    <x v="10"/>
    <n v="103"/>
    <n v="103"/>
    <n v="103"/>
    <n v="0"/>
    <n v="0"/>
  </r>
  <r>
    <x v="25"/>
    <x v="10"/>
    <n v="29"/>
    <n v="29"/>
    <n v="29"/>
    <n v="0"/>
    <n v="0"/>
  </r>
  <r>
    <x v="25"/>
    <x v="11"/>
    <n v="384"/>
    <n v="384"/>
    <n v="354"/>
    <n v="30"/>
    <n v="0"/>
  </r>
  <r>
    <x v="25"/>
    <x v="11"/>
    <n v="237"/>
    <n v="237"/>
    <n v="195"/>
    <n v="42"/>
    <n v="0"/>
  </r>
  <r>
    <x v="25"/>
    <x v="12"/>
    <n v="188"/>
    <n v="187"/>
    <n v="176"/>
    <n v="11"/>
    <n v="0"/>
  </r>
  <r>
    <x v="25"/>
    <x v="12"/>
    <n v="110"/>
    <n v="110"/>
    <n v="109"/>
    <n v="1"/>
    <n v="0"/>
  </r>
</pivotCacheRecords>
</file>

<file path=xl/pivotCache/pivotCacheRecords2.xml><?xml version="1.0" encoding="utf-8"?>
<pivotCacheRecords xmlns="http://schemas.openxmlformats.org/spreadsheetml/2006/main" xmlns:r="http://schemas.openxmlformats.org/officeDocument/2006/relationships" count="243">
  <r>
    <x v="0"/>
    <x v="0"/>
    <n v="41"/>
    <n v="33"/>
    <n v="28"/>
    <n v="5"/>
    <n v="1"/>
  </r>
  <r>
    <x v="0"/>
    <x v="1"/>
    <n v="92"/>
    <n v="79"/>
    <n v="41"/>
    <n v="38"/>
    <n v="0"/>
  </r>
  <r>
    <x v="0"/>
    <x v="2"/>
    <n v="161"/>
    <n v="146"/>
    <n v="97"/>
    <n v="49"/>
    <n v="0"/>
  </r>
  <r>
    <x v="0"/>
    <x v="3"/>
    <n v="606"/>
    <n v="525"/>
    <n v="269"/>
    <n v="256"/>
    <n v="2"/>
  </r>
  <r>
    <x v="0"/>
    <x v="4"/>
    <n v="1"/>
    <n v="1"/>
    <n v="1"/>
    <n v="0"/>
    <n v="0"/>
  </r>
  <r>
    <x v="0"/>
    <x v="5"/>
    <n v="151"/>
    <n v="135"/>
    <n v="86"/>
    <n v="49"/>
    <n v="0"/>
  </r>
  <r>
    <x v="1"/>
    <x v="0"/>
    <n v="1"/>
    <n v="1"/>
    <n v="1"/>
    <n v="0"/>
    <n v="0"/>
  </r>
  <r>
    <x v="1"/>
    <x v="1"/>
    <n v="22"/>
    <n v="22"/>
    <n v="19"/>
    <n v="3"/>
    <n v="0"/>
  </r>
  <r>
    <x v="1"/>
    <x v="2"/>
    <n v="56"/>
    <n v="55"/>
    <n v="41"/>
    <n v="14"/>
    <n v="0"/>
  </r>
  <r>
    <x v="1"/>
    <x v="3"/>
    <n v="32"/>
    <n v="31"/>
    <n v="27"/>
    <n v="4"/>
    <n v="0"/>
  </r>
  <r>
    <x v="1"/>
    <x v="5"/>
    <n v="39"/>
    <n v="38"/>
    <n v="30"/>
    <n v="8"/>
    <n v="0"/>
  </r>
  <r>
    <x v="2"/>
    <x v="0"/>
    <n v="10"/>
    <n v="9"/>
    <n v="4"/>
    <n v="5"/>
    <n v="0"/>
  </r>
  <r>
    <x v="2"/>
    <x v="1"/>
    <n v="8"/>
    <n v="8"/>
    <n v="7"/>
    <n v="1"/>
    <n v="0"/>
  </r>
  <r>
    <x v="2"/>
    <x v="2"/>
    <n v="21"/>
    <n v="21"/>
    <n v="19"/>
    <n v="2"/>
    <n v="0"/>
  </r>
  <r>
    <x v="2"/>
    <x v="3"/>
    <n v="46"/>
    <n v="45"/>
    <n v="26"/>
    <n v="19"/>
    <n v="1"/>
  </r>
  <r>
    <x v="2"/>
    <x v="5"/>
    <n v="31"/>
    <n v="31"/>
    <n v="27"/>
    <n v="4"/>
    <n v="0"/>
  </r>
  <r>
    <x v="3"/>
    <x v="0"/>
    <n v="2"/>
    <n v="2"/>
    <n v="2"/>
    <n v="0"/>
    <n v="0"/>
  </r>
  <r>
    <x v="3"/>
    <x v="1"/>
    <n v="17"/>
    <n v="17"/>
    <n v="16"/>
    <n v="1"/>
    <n v="0"/>
  </r>
  <r>
    <x v="3"/>
    <x v="2"/>
    <n v="29"/>
    <n v="29"/>
    <n v="17"/>
    <n v="12"/>
    <n v="0"/>
  </r>
  <r>
    <x v="3"/>
    <x v="3"/>
    <n v="34"/>
    <n v="34"/>
    <n v="30"/>
    <n v="4"/>
    <n v="0"/>
  </r>
  <r>
    <x v="3"/>
    <x v="5"/>
    <n v="27"/>
    <n v="27"/>
    <n v="22"/>
    <n v="5"/>
    <n v="0"/>
  </r>
  <r>
    <x v="4"/>
    <x v="0"/>
    <n v="1"/>
    <n v="1"/>
    <n v="1"/>
    <n v="0"/>
    <n v="0"/>
  </r>
  <r>
    <x v="4"/>
    <x v="1"/>
    <n v="16"/>
    <n v="15"/>
    <n v="11"/>
    <n v="4"/>
    <n v="1"/>
  </r>
  <r>
    <x v="4"/>
    <x v="2"/>
    <n v="11"/>
    <n v="11"/>
    <n v="10"/>
    <n v="1"/>
    <n v="0"/>
  </r>
  <r>
    <x v="4"/>
    <x v="3"/>
    <n v="6"/>
    <n v="5"/>
    <n v="4"/>
    <n v="1"/>
    <n v="1"/>
  </r>
  <r>
    <x v="4"/>
    <x v="5"/>
    <n v="29"/>
    <n v="28"/>
    <n v="21"/>
    <n v="7"/>
    <n v="1"/>
  </r>
  <r>
    <x v="5"/>
    <x v="0"/>
    <n v="4"/>
    <n v="2"/>
    <n v="2"/>
    <n v="0"/>
    <n v="0"/>
  </r>
  <r>
    <x v="5"/>
    <x v="1"/>
    <n v="7"/>
    <n v="7"/>
    <n v="7"/>
    <n v="0"/>
    <n v="0"/>
  </r>
  <r>
    <x v="5"/>
    <x v="2"/>
    <n v="31"/>
    <n v="30"/>
    <n v="25"/>
    <n v="5"/>
    <n v="0"/>
  </r>
  <r>
    <x v="5"/>
    <x v="3"/>
    <n v="47"/>
    <n v="45"/>
    <n v="35"/>
    <n v="10"/>
    <n v="0"/>
  </r>
  <r>
    <x v="5"/>
    <x v="5"/>
    <n v="25"/>
    <n v="23"/>
    <n v="17"/>
    <n v="6"/>
    <n v="0"/>
  </r>
  <r>
    <x v="6"/>
    <x v="1"/>
    <n v="7"/>
    <n v="7"/>
    <n v="7"/>
    <n v="0"/>
    <n v="0"/>
  </r>
  <r>
    <x v="6"/>
    <x v="2"/>
    <n v="14"/>
    <n v="14"/>
    <n v="9"/>
    <n v="5"/>
    <n v="0"/>
  </r>
  <r>
    <x v="6"/>
    <x v="3"/>
    <n v="21"/>
    <n v="18"/>
    <n v="16"/>
    <n v="2"/>
    <n v="1"/>
  </r>
  <r>
    <x v="6"/>
    <x v="5"/>
    <n v="16"/>
    <n v="16"/>
    <n v="15"/>
    <n v="1"/>
    <n v="0"/>
  </r>
  <r>
    <x v="7"/>
    <x v="1"/>
    <n v="3"/>
    <n v="3"/>
    <n v="3"/>
    <n v="0"/>
    <n v="0"/>
  </r>
  <r>
    <x v="7"/>
    <x v="2"/>
    <n v="12"/>
    <n v="12"/>
    <n v="10"/>
    <n v="2"/>
    <n v="0"/>
  </r>
  <r>
    <x v="7"/>
    <x v="3"/>
    <n v="20"/>
    <n v="19"/>
    <n v="18"/>
    <n v="1"/>
    <n v="0"/>
  </r>
  <r>
    <x v="7"/>
    <x v="5"/>
    <n v="19"/>
    <n v="19"/>
    <n v="17"/>
    <n v="2"/>
    <n v="0"/>
  </r>
  <r>
    <x v="8"/>
    <x v="0"/>
    <n v="19"/>
    <n v="8"/>
    <n v="5"/>
    <n v="3"/>
    <n v="0"/>
  </r>
  <r>
    <x v="8"/>
    <x v="1"/>
    <n v="6"/>
    <n v="6"/>
    <n v="5"/>
    <n v="1"/>
    <n v="0"/>
  </r>
  <r>
    <x v="8"/>
    <x v="2"/>
    <n v="20"/>
    <n v="20"/>
    <n v="14"/>
    <n v="6"/>
    <n v="0"/>
  </r>
  <r>
    <x v="8"/>
    <x v="3"/>
    <n v="37"/>
    <n v="36"/>
    <n v="28"/>
    <n v="8"/>
    <n v="0"/>
  </r>
  <r>
    <x v="8"/>
    <x v="5"/>
    <n v="18"/>
    <n v="17"/>
    <n v="14"/>
    <n v="3"/>
    <n v="0"/>
  </r>
  <r>
    <x v="9"/>
    <x v="0"/>
    <n v="3"/>
    <n v="3"/>
    <n v="3"/>
    <n v="0"/>
    <n v="0"/>
  </r>
  <r>
    <x v="9"/>
    <x v="1"/>
    <n v="58"/>
    <n v="57"/>
    <n v="54"/>
    <n v="3"/>
    <n v="0"/>
  </r>
  <r>
    <x v="9"/>
    <x v="2"/>
    <n v="28"/>
    <n v="28"/>
    <n v="26"/>
    <n v="2"/>
    <n v="0"/>
  </r>
  <r>
    <x v="9"/>
    <x v="3"/>
    <n v="40"/>
    <n v="39"/>
    <n v="30"/>
    <n v="9"/>
    <n v="0"/>
  </r>
  <r>
    <x v="9"/>
    <x v="5"/>
    <n v="27"/>
    <n v="27"/>
    <n v="23"/>
    <n v="4"/>
    <n v="0"/>
  </r>
  <r>
    <x v="10"/>
    <x v="0"/>
    <n v="2"/>
    <n v="2"/>
    <n v="2"/>
    <n v="0"/>
    <n v="0"/>
  </r>
  <r>
    <x v="10"/>
    <x v="1"/>
    <n v="13"/>
    <n v="12"/>
    <n v="10"/>
    <n v="2"/>
    <n v="1"/>
  </r>
  <r>
    <x v="10"/>
    <x v="2"/>
    <n v="36"/>
    <n v="36"/>
    <n v="27"/>
    <n v="9"/>
    <n v="0"/>
  </r>
  <r>
    <x v="10"/>
    <x v="3"/>
    <n v="14"/>
    <n v="13"/>
    <n v="11"/>
    <n v="2"/>
    <n v="1"/>
  </r>
  <r>
    <x v="10"/>
    <x v="5"/>
    <n v="38"/>
    <n v="38"/>
    <n v="35"/>
    <n v="3"/>
    <n v="0"/>
  </r>
  <r>
    <x v="11"/>
    <x v="0"/>
    <n v="2"/>
    <n v="2"/>
    <n v="1"/>
    <n v="1"/>
    <n v="0"/>
  </r>
  <r>
    <x v="11"/>
    <x v="1"/>
    <n v="21"/>
    <n v="21"/>
    <n v="18"/>
    <n v="3"/>
    <n v="0"/>
  </r>
  <r>
    <x v="11"/>
    <x v="2"/>
    <n v="45"/>
    <n v="45"/>
    <n v="33"/>
    <n v="12"/>
    <n v="0"/>
  </r>
  <r>
    <x v="11"/>
    <x v="3"/>
    <n v="65"/>
    <n v="62"/>
    <n v="44"/>
    <n v="18"/>
    <n v="1"/>
  </r>
  <r>
    <x v="11"/>
    <x v="5"/>
    <n v="66"/>
    <n v="65"/>
    <n v="40"/>
    <n v="25"/>
    <n v="1"/>
  </r>
  <r>
    <x v="12"/>
    <x v="0"/>
    <n v="1"/>
    <n v="1"/>
    <n v="0"/>
    <n v="1"/>
    <n v="0"/>
  </r>
  <r>
    <x v="12"/>
    <x v="1"/>
    <n v="15"/>
    <n v="15"/>
    <n v="11"/>
    <n v="4"/>
    <n v="0"/>
  </r>
  <r>
    <x v="12"/>
    <x v="2"/>
    <n v="27"/>
    <n v="27"/>
    <n v="27"/>
    <n v="0"/>
    <n v="0"/>
  </r>
  <r>
    <x v="12"/>
    <x v="3"/>
    <n v="62"/>
    <n v="61"/>
    <n v="45"/>
    <n v="16"/>
    <n v="1"/>
  </r>
  <r>
    <x v="12"/>
    <x v="5"/>
    <n v="34"/>
    <n v="34"/>
    <n v="30"/>
    <n v="4"/>
    <n v="0"/>
  </r>
  <r>
    <x v="13"/>
    <x v="0"/>
    <n v="3"/>
    <n v="3"/>
    <n v="3"/>
    <n v="0"/>
    <n v="0"/>
  </r>
  <r>
    <x v="13"/>
    <x v="1"/>
    <n v="41"/>
    <n v="40"/>
    <n v="31"/>
    <n v="9"/>
    <n v="0"/>
  </r>
  <r>
    <x v="13"/>
    <x v="2"/>
    <n v="82"/>
    <n v="78"/>
    <n v="62"/>
    <n v="16"/>
    <n v="1"/>
  </r>
  <r>
    <x v="13"/>
    <x v="3"/>
    <n v="118"/>
    <n v="114"/>
    <n v="84"/>
    <n v="30"/>
    <n v="1"/>
  </r>
  <r>
    <x v="13"/>
    <x v="5"/>
    <n v="118"/>
    <n v="117"/>
    <n v="74"/>
    <n v="43"/>
    <n v="1"/>
  </r>
  <r>
    <x v="14"/>
    <x v="1"/>
    <n v="6"/>
    <n v="6"/>
    <n v="4"/>
    <n v="2"/>
    <n v="0"/>
  </r>
  <r>
    <x v="14"/>
    <x v="2"/>
    <n v="46"/>
    <n v="44"/>
    <n v="35"/>
    <n v="9"/>
    <n v="2"/>
  </r>
  <r>
    <x v="14"/>
    <x v="3"/>
    <n v="70"/>
    <n v="68"/>
    <n v="46"/>
    <n v="22"/>
    <n v="0"/>
  </r>
  <r>
    <x v="14"/>
    <x v="5"/>
    <n v="13"/>
    <n v="13"/>
    <n v="10"/>
    <n v="3"/>
    <n v="0"/>
  </r>
  <r>
    <x v="15"/>
    <x v="0"/>
    <n v="11"/>
    <n v="8"/>
    <n v="7"/>
    <n v="1"/>
    <n v="0"/>
  </r>
  <r>
    <x v="15"/>
    <x v="1"/>
    <n v="125"/>
    <n v="120"/>
    <n v="97"/>
    <n v="23"/>
    <n v="1"/>
  </r>
  <r>
    <x v="15"/>
    <x v="2"/>
    <n v="113"/>
    <n v="96"/>
    <n v="76"/>
    <n v="20"/>
    <n v="1"/>
  </r>
  <r>
    <x v="15"/>
    <x v="3"/>
    <n v="290"/>
    <n v="266"/>
    <n v="230"/>
    <n v="36"/>
    <n v="2"/>
  </r>
  <r>
    <x v="15"/>
    <x v="4"/>
    <n v="1"/>
    <n v="1"/>
    <n v="1"/>
    <n v="0"/>
    <n v="0"/>
  </r>
  <r>
    <x v="15"/>
    <x v="5"/>
    <n v="203"/>
    <n v="185"/>
    <n v="148"/>
    <n v="37"/>
    <n v="0"/>
  </r>
  <r>
    <x v="16"/>
    <x v="0"/>
    <n v="6"/>
    <n v="4"/>
    <n v="4"/>
    <n v="0"/>
    <n v="0"/>
  </r>
  <r>
    <x v="16"/>
    <x v="1"/>
    <n v="50"/>
    <n v="50"/>
    <n v="37"/>
    <n v="13"/>
    <n v="0"/>
  </r>
  <r>
    <x v="16"/>
    <x v="2"/>
    <n v="81"/>
    <n v="77"/>
    <n v="46"/>
    <n v="31"/>
    <n v="1"/>
  </r>
  <r>
    <x v="16"/>
    <x v="3"/>
    <n v="147"/>
    <n v="139"/>
    <n v="88"/>
    <n v="51"/>
    <n v="0"/>
  </r>
  <r>
    <x v="16"/>
    <x v="4"/>
    <n v="1"/>
    <n v="1"/>
    <n v="1"/>
    <n v="0"/>
    <n v="0"/>
  </r>
  <r>
    <x v="16"/>
    <x v="5"/>
    <n v="96"/>
    <n v="96"/>
    <n v="74"/>
    <n v="22"/>
    <n v="0"/>
  </r>
  <r>
    <x v="17"/>
    <x v="0"/>
    <n v="6"/>
    <n v="6"/>
    <n v="6"/>
    <n v="0"/>
    <n v="0"/>
  </r>
  <r>
    <x v="17"/>
    <x v="1"/>
    <n v="15"/>
    <n v="15"/>
    <n v="13"/>
    <n v="2"/>
    <n v="0"/>
  </r>
  <r>
    <x v="17"/>
    <x v="2"/>
    <n v="28"/>
    <n v="27"/>
    <n v="19"/>
    <n v="8"/>
    <n v="0"/>
  </r>
  <r>
    <x v="17"/>
    <x v="3"/>
    <n v="22"/>
    <n v="21"/>
    <n v="18"/>
    <n v="3"/>
    <n v="0"/>
  </r>
  <r>
    <x v="17"/>
    <x v="5"/>
    <n v="29"/>
    <n v="29"/>
    <n v="19"/>
    <n v="10"/>
    <n v="0"/>
  </r>
  <r>
    <x v="18"/>
    <x v="1"/>
    <n v="26"/>
    <n v="25"/>
    <n v="16"/>
    <n v="9"/>
    <n v="0"/>
  </r>
  <r>
    <x v="18"/>
    <x v="2"/>
    <n v="25"/>
    <n v="24"/>
    <n v="16"/>
    <n v="8"/>
    <n v="0"/>
  </r>
  <r>
    <x v="18"/>
    <x v="3"/>
    <n v="29"/>
    <n v="28"/>
    <n v="22"/>
    <n v="6"/>
    <n v="0"/>
  </r>
  <r>
    <x v="18"/>
    <x v="5"/>
    <n v="25"/>
    <n v="25"/>
    <n v="19"/>
    <n v="6"/>
    <n v="0"/>
  </r>
  <r>
    <x v="19"/>
    <x v="0"/>
    <n v="4"/>
    <n v="3"/>
    <n v="2"/>
    <n v="1"/>
    <n v="0"/>
  </r>
  <r>
    <x v="19"/>
    <x v="1"/>
    <n v="13"/>
    <n v="13"/>
    <n v="13"/>
    <n v="0"/>
    <n v="0"/>
  </r>
  <r>
    <x v="19"/>
    <x v="2"/>
    <n v="17"/>
    <n v="17"/>
    <n v="15"/>
    <n v="2"/>
    <n v="0"/>
  </r>
  <r>
    <x v="19"/>
    <x v="3"/>
    <n v="28"/>
    <n v="27"/>
    <n v="25"/>
    <n v="2"/>
    <n v="1"/>
  </r>
  <r>
    <x v="19"/>
    <x v="5"/>
    <n v="39"/>
    <n v="39"/>
    <n v="31"/>
    <n v="8"/>
    <n v="0"/>
  </r>
  <r>
    <x v="20"/>
    <x v="1"/>
    <n v="19"/>
    <n v="19"/>
    <n v="19"/>
    <n v="0"/>
    <n v="0"/>
  </r>
  <r>
    <x v="20"/>
    <x v="2"/>
    <n v="31"/>
    <n v="31"/>
    <n v="22"/>
    <n v="9"/>
    <n v="0"/>
  </r>
  <r>
    <x v="20"/>
    <x v="3"/>
    <n v="51"/>
    <n v="49"/>
    <n v="44"/>
    <n v="5"/>
    <n v="0"/>
  </r>
  <r>
    <x v="20"/>
    <x v="5"/>
    <n v="29"/>
    <n v="29"/>
    <n v="26"/>
    <n v="3"/>
    <n v="0"/>
  </r>
  <r>
    <x v="21"/>
    <x v="0"/>
    <n v="4"/>
    <n v="4"/>
    <n v="3"/>
    <n v="1"/>
    <n v="0"/>
  </r>
  <r>
    <x v="21"/>
    <x v="1"/>
    <n v="6"/>
    <n v="6"/>
    <n v="6"/>
    <n v="0"/>
    <n v="0"/>
  </r>
  <r>
    <x v="21"/>
    <x v="2"/>
    <n v="22"/>
    <n v="19"/>
    <n v="17"/>
    <n v="2"/>
    <n v="2"/>
  </r>
  <r>
    <x v="21"/>
    <x v="3"/>
    <n v="7"/>
    <n v="7"/>
    <n v="5"/>
    <n v="2"/>
    <n v="0"/>
  </r>
  <r>
    <x v="21"/>
    <x v="5"/>
    <n v="28"/>
    <n v="26"/>
    <n v="21"/>
    <n v="5"/>
    <n v="2"/>
  </r>
  <r>
    <x v="22"/>
    <x v="0"/>
    <n v="1"/>
    <n v="1"/>
    <n v="1"/>
    <n v="0"/>
    <n v="0"/>
  </r>
  <r>
    <x v="22"/>
    <x v="1"/>
    <n v="9"/>
    <n v="9"/>
    <n v="9"/>
    <n v="0"/>
    <n v="0"/>
  </r>
  <r>
    <x v="22"/>
    <x v="2"/>
    <n v="67"/>
    <n v="66"/>
    <n v="62"/>
    <n v="4"/>
    <n v="0"/>
  </r>
  <r>
    <x v="22"/>
    <x v="3"/>
    <n v="81"/>
    <n v="72"/>
    <n v="59"/>
    <n v="13"/>
    <n v="4"/>
  </r>
  <r>
    <x v="22"/>
    <x v="4"/>
    <n v="1"/>
    <n v="1"/>
    <n v="1"/>
    <n v="0"/>
    <n v="0"/>
  </r>
  <r>
    <x v="22"/>
    <x v="5"/>
    <n v="107"/>
    <n v="103"/>
    <n v="99"/>
    <n v="4"/>
    <n v="1"/>
  </r>
  <r>
    <x v="23"/>
    <x v="1"/>
    <n v="7"/>
    <n v="7"/>
    <n v="5"/>
    <n v="2"/>
    <n v="0"/>
  </r>
  <r>
    <x v="23"/>
    <x v="2"/>
    <n v="17"/>
    <n v="16"/>
    <n v="13"/>
    <n v="3"/>
    <n v="0"/>
  </r>
  <r>
    <x v="23"/>
    <x v="3"/>
    <n v="38"/>
    <n v="38"/>
    <n v="30"/>
    <n v="8"/>
    <n v="0"/>
  </r>
  <r>
    <x v="23"/>
    <x v="5"/>
    <n v="32"/>
    <n v="32"/>
    <n v="27"/>
    <n v="5"/>
    <n v="0"/>
  </r>
  <r>
    <x v="24"/>
    <x v="0"/>
    <n v="3"/>
    <n v="3"/>
    <n v="3"/>
    <n v="0"/>
    <n v="0"/>
  </r>
  <r>
    <x v="24"/>
    <x v="1"/>
    <n v="7"/>
    <n v="7"/>
    <n v="4"/>
    <n v="3"/>
    <n v="0"/>
  </r>
  <r>
    <x v="24"/>
    <x v="2"/>
    <n v="11"/>
    <n v="11"/>
    <n v="9"/>
    <n v="2"/>
    <n v="0"/>
  </r>
  <r>
    <x v="24"/>
    <x v="3"/>
    <n v="81"/>
    <n v="79"/>
    <n v="61"/>
    <n v="18"/>
    <n v="1"/>
  </r>
  <r>
    <x v="24"/>
    <x v="5"/>
    <n v="33"/>
    <n v="33"/>
    <n v="31"/>
    <n v="2"/>
    <n v="0"/>
  </r>
  <r>
    <x v="25"/>
    <x v="0"/>
    <n v="5"/>
    <n v="4"/>
    <n v="1"/>
    <n v="3"/>
    <n v="0"/>
  </r>
  <r>
    <x v="25"/>
    <x v="1"/>
    <n v="79"/>
    <n v="79"/>
    <n v="74"/>
    <n v="5"/>
    <n v="0"/>
  </r>
  <r>
    <x v="25"/>
    <x v="2"/>
    <n v="79"/>
    <n v="79"/>
    <n v="74"/>
    <n v="5"/>
    <n v="0"/>
  </r>
  <r>
    <x v="25"/>
    <x v="3"/>
    <n v="160"/>
    <n v="153"/>
    <n v="127"/>
    <n v="26"/>
    <n v="0"/>
  </r>
  <r>
    <x v="25"/>
    <x v="5"/>
    <n v="98"/>
    <n v="96"/>
    <n v="89"/>
    <n v="7"/>
    <n v="2"/>
  </r>
  <r>
    <x v="0"/>
    <x v="0"/>
    <n v="8"/>
    <n v="5"/>
    <n v="3"/>
    <n v="2"/>
    <n v="0"/>
  </r>
  <r>
    <x v="0"/>
    <x v="2"/>
    <n v="118"/>
    <n v="107"/>
    <n v="62"/>
    <n v="45"/>
    <n v="3"/>
  </r>
  <r>
    <x v="0"/>
    <x v="5"/>
    <n v="92"/>
    <n v="84"/>
    <n v="48"/>
    <n v="36"/>
    <n v="0"/>
  </r>
  <r>
    <x v="0"/>
    <x v="3"/>
    <n v="442"/>
    <n v="372"/>
    <n v="201"/>
    <n v="171"/>
    <n v="3"/>
  </r>
  <r>
    <x v="0"/>
    <x v="1"/>
    <n v="89"/>
    <n v="82"/>
    <n v="41"/>
    <n v="41"/>
    <n v="1"/>
  </r>
  <r>
    <x v="0"/>
    <x v="4"/>
    <n v="4"/>
    <n v="4"/>
    <n v="3"/>
    <n v="1"/>
    <n v="0"/>
  </r>
  <r>
    <x v="1"/>
    <x v="2"/>
    <n v="50"/>
    <n v="50"/>
    <n v="38"/>
    <n v="12"/>
    <n v="0"/>
  </r>
  <r>
    <x v="1"/>
    <x v="1"/>
    <n v="38"/>
    <n v="37"/>
    <n v="34"/>
    <n v="3"/>
    <n v="0"/>
  </r>
  <r>
    <x v="1"/>
    <x v="5"/>
    <n v="44"/>
    <n v="43"/>
    <n v="36"/>
    <n v="7"/>
    <n v="0"/>
  </r>
  <r>
    <x v="1"/>
    <x v="3"/>
    <n v="23"/>
    <n v="23"/>
    <n v="22"/>
    <n v="1"/>
    <n v="0"/>
  </r>
  <r>
    <x v="2"/>
    <x v="0"/>
    <n v="1"/>
    <n v="1"/>
    <n v="1"/>
    <n v="0"/>
    <n v="0"/>
  </r>
  <r>
    <x v="2"/>
    <x v="2"/>
    <n v="11"/>
    <n v="11"/>
    <n v="9"/>
    <n v="2"/>
    <n v="0"/>
  </r>
  <r>
    <x v="2"/>
    <x v="1"/>
    <n v="9"/>
    <n v="9"/>
    <n v="9"/>
    <n v="0"/>
    <n v="0"/>
  </r>
  <r>
    <x v="2"/>
    <x v="5"/>
    <n v="17"/>
    <n v="17"/>
    <n v="14"/>
    <n v="3"/>
    <n v="0"/>
  </r>
  <r>
    <x v="2"/>
    <x v="3"/>
    <n v="14"/>
    <n v="13"/>
    <n v="8"/>
    <n v="5"/>
    <n v="0"/>
  </r>
  <r>
    <x v="3"/>
    <x v="3"/>
    <n v="32"/>
    <n v="27"/>
    <n v="23"/>
    <n v="4"/>
    <n v="0"/>
  </r>
  <r>
    <x v="3"/>
    <x v="1"/>
    <n v="20"/>
    <n v="19"/>
    <n v="14"/>
    <n v="5"/>
    <n v="0"/>
  </r>
  <r>
    <x v="3"/>
    <x v="5"/>
    <n v="29"/>
    <n v="29"/>
    <n v="24"/>
    <n v="5"/>
    <n v="0"/>
  </r>
  <r>
    <x v="3"/>
    <x v="2"/>
    <n v="16"/>
    <n v="16"/>
    <n v="14"/>
    <n v="2"/>
    <n v="0"/>
  </r>
  <r>
    <x v="4"/>
    <x v="2"/>
    <n v="5"/>
    <n v="5"/>
    <n v="5"/>
    <n v="0"/>
    <n v="0"/>
  </r>
  <r>
    <x v="4"/>
    <x v="5"/>
    <n v="23"/>
    <n v="23"/>
    <n v="16"/>
    <n v="7"/>
    <n v="0"/>
  </r>
  <r>
    <x v="4"/>
    <x v="1"/>
    <n v="9"/>
    <n v="9"/>
    <n v="7"/>
    <n v="2"/>
    <n v="0"/>
  </r>
  <r>
    <x v="4"/>
    <x v="3"/>
    <n v="6"/>
    <n v="5"/>
    <n v="4"/>
    <n v="1"/>
    <n v="0"/>
  </r>
  <r>
    <x v="5"/>
    <x v="1"/>
    <n v="14"/>
    <n v="14"/>
    <n v="13"/>
    <n v="1"/>
    <n v="0"/>
  </r>
  <r>
    <x v="5"/>
    <x v="5"/>
    <n v="22"/>
    <n v="21"/>
    <n v="18"/>
    <n v="3"/>
    <n v="1"/>
  </r>
  <r>
    <x v="5"/>
    <x v="3"/>
    <n v="41"/>
    <n v="38"/>
    <n v="32"/>
    <n v="6"/>
    <n v="0"/>
  </r>
  <r>
    <x v="5"/>
    <x v="2"/>
    <n v="22"/>
    <n v="22"/>
    <n v="19"/>
    <n v="3"/>
    <n v="0"/>
  </r>
  <r>
    <x v="6"/>
    <x v="2"/>
    <n v="12"/>
    <n v="11"/>
    <n v="8"/>
    <n v="3"/>
    <n v="1"/>
  </r>
  <r>
    <x v="6"/>
    <x v="3"/>
    <n v="35"/>
    <n v="35"/>
    <n v="31"/>
    <n v="4"/>
    <n v="0"/>
  </r>
  <r>
    <x v="6"/>
    <x v="5"/>
    <n v="20"/>
    <n v="19"/>
    <n v="14"/>
    <n v="5"/>
    <n v="0"/>
  </r>
  <r>
    <x v="6"/>
    <x v="1"/>
    <n v="9"/>
    <n v="8"/>
    <n v="7"/>
    <n v="1"/>
    <n v="1"/>
  </r>
  <r>
    <x v="7"/>
    <x v="5"/>
    <n v="12"/>
    <n v="12"/>
    <n v="9"/>
    <n v="3"/>
    <n v="0"/>
  </r>
  <r>
    <x v="7"/>
    <x v="2"/>
    <n v="7"/>
    <n v="7"/>
    <n v="6"/>
    <n v="1"/>
    <n v="0"/>
  </r>
  <r>
    <x v="7"/>
    <x v="3"/>
    <n v="16"/>
    <n v="16"/>
    <n v="15"/>
    <n v="1"/>
    <n v="0"/>
  </r>
  <r>
    <x v="7"/>
    <x v="1"/>
    <n v="4"/>
    <n v="4"/>
    <n v="2"/>
    <n v="2"/>
    <n v="0"/>
  </r>
  <r>
    <x v="8"/>
    <x v="0"/>
    <n v="4"/>
    <n v="2"/>
    <n v="2"/>
    <n v="0"/>
    <n v="0"/>
  </r>
  <r>
    <x v="8"/>
    <x v="5"/>
    <n v="22"/>
    <n v="21"/>
    <n v="11"/>
    <n v="10"/>
    <n v="0"/>
  </r>
  <r>
    <x v="8"/>
    <x v="3"/>
    <n v="15"/>
    <n v="15"/>
    <n v="9"/>
    <n v="6"/>
    <n v="0"/>
  </r>
  <r>
    <x v="8"/>
    <x v="2"/>
    <n v="18"/>
    <n v="18"/>
    <n v="16"/>
    <n v="2"/>
    <n v="0"/>
  </r>
  <r>
    <x v="8"/>
    <x v="1"/>
    <n v="1"/>
    <n v="1"/>
    <n v="1"/>
    <n v="0"/>
    <n v="0"/>
  </r>
  <r>
    <x v="9"/>
    <x v="5"/>
    <n v="32"/>
    <n v="32"/>
    <n v="31"/>
    <n v="1"/>
    <n v="0"/>
  </r>
  <r>
    <x v="9"/>
    <x v="1"/>
    <n v="27"/>
    <n v="27"/>
    <n v="24"/>
    <n v="3"/>
    <n v="0"/>
  </r>
  <r>
    <x v="9"/>
    <x v="3"/>
    <n v="42"/>
    <n v="41"/>
    <n v="26"/>
    <n v="15"/>
    <n v="0"/>
  </r>
  <r>
    <x v="9"/>
    <x v="2"/>
    <n v="29"/>
    <n v="29"/>
    <n v="27"/>
    <n v="2"/>
    <n v="0"/>
  </r>
  <r>
    <x v="10"/>
    <x v="3"/>
    <n v="38"/>
    <n v="35"/>
    <n v="24"/>
    <n v="11"/>
    <n v="0"/>
  </r>
  <r>
    <x v="10"/>
    <x v="1"/>
    <n v="14"/>
    <n v="14"/>
    <n v="9"/>
    <n v="5"/>
    <n v="0"/>
  </r>
  <r>
    <x v="10"/>
    <x v="5"/>
    <n v="40"/>
    <n v="40"/>
    <n v="35"/>
    <n v="5"/>
    <n v="0"/>
  </r>
  <r>
    <x v="10"/>
    <x v="2"/>
    <n v="37"/>
    <n v="37"/>
    <n v="31"/>
    <n v="6"/>
    <n v="0"/>
  </r>
  <r>
    <x v="11"/>
    <x v="5"/>
    <n v="64"/>
    <n v="62"/>
    <n v="41"/>
    <n v="21"/>
    <n v="0"/>
  </r>
  <r>
    <x v="11"/>
    <x v="2"/>
    <n v="31"/>
    <n v="30"/>
    <n v="18"/>
    <n v="12"/>
    <n v="0"/>
  </r>
  <r>
    <x v="11"/>
    <x v="4"/>
    <n v="1"/>
    <n v="1"/>
    <n v="1"/>
    <n v="0"/>
    <n v="0"/>
  </r>
  <r>
    <x v="11"/>
    <x v="3"/>
    <n v="76"/>
    <n v="66"/>
    <n v="36"/>
    <n v="30"/>
    <n v="1"/>
  </r>
  <r>
    <x v="11"/>
    <x v="1"/>
    <n v="24"/>
    <n v="24"/>
    <n v="18"/>
    <n v="6"/>
    <n v="0"/>
  </r>
  <r>
    <x v="12"/>
    <x v="1"/>
    <n v="11"/>
    <n v="11"/>
    <n v="11"/>
    <n v="0"/>
    <n v="0"/>
  </r>
  <r>
    <x v="12"/>
    <x v="2"/>
    <n v="18"/>
    <n v="18"/>
    <n v="17"/>
    <n v="1"/>
    <n v="0"/>
  </r>
  <r>
    <x v="12"/>
    <x v="5"/>
    <n v="39"/>
    <n v="39"/>
    <n v="28"/>
    <n v="11"/>
    <n v="0"/>
  </r>
  <r>
    <x v="12"/>
    <x v="3"/>
    <n v="68"/>
    <n v="66"/>
    <n v="52"/>
    <n v="14"/>
    <n v="1"/>
  </r>
  <r>
    <x v="13"/>
    <x v="1"/>
    <n v="57"/>
    <n v="57"/>
    <n v="41"/>
    <n v="16"/>
    <n v="0"/>
  </r>
  <r>
    <x v="13"/>
    <x v="5"/>
    <n v="89"/>
    <n v="87"/>
    <n v="55"/>
    <n v="32"/>
    <n v="0"/>
  </r>
  <r>
    <x v="13"/>
    <x v="3"/>
    <n v="75"/>
    <n v="71"/>
    <n v="57"/>
    <n v="14"/>
    <n v="0"/>
  </r>
  <r>
    <x v="13"/>
    <x v="2"/>
    <n v="90"/>
    <n v="87"/>
    <n v="60"/>
    <n v="27"/>
    <n v="1"/>
  </r>
  <r>
    <x v="14"/>
    <x v="1"/>
    <n v="1"/>
    <n v="1"/>
    <n v="1"/>
    <n v="0"/>
    <n v="0"/>
  </r>
  <r>
    <x v="14"/>
    <x v="5"/>
    <n v="9"/>
    <n v="9"/>
    <n v="5"/>
    <n v="4"/>
    <n v="0"/>
  </r>
  <r>
    <x v="14"/>
    <x v="3"/>
    <n v="55"/>
    <n v="46"/>
    <n v="28"/>
    <n v="18"/>
    <n v="2"/>
  </r>
  <r>
    <x v="14"/>
    <x v="2"/>
    <n v="27"/>
    <n v="27"/>
    <n v="14"/>
    <n v="13"/>
    <n v="0"/>
  </r>
  <r>
    <x v="15"/>
    <x v="0"/>
    <n v="4"/>
    <n v="2"/>
    <n v="2"/>
    <n v="0"/>
    <n v="0"/>
  </r>
  <r>
    <x v="15"/>
    <x v="2"/>
    <n v="121"/>
    <n v="106"/>
    <n v="94"/>
    <n v="12"/>
    <n v="0"/>
  </r>
  <r>
    <x v="15"/>
    <x v="5"/>
    <n v="231"/>
    <n v="210"/>
    <n v="169"/>
    <n v="41"/>
    <n v="0"/>
  </r>
  <r>
    <x v="15"/>
    <x v="1"/>
    <n v="111"/>
    <n v="90"/>
    <n v="71"/>
    <n v="19"/>
    <n v="1"/>
  </r>
  <r>
    <x v="15"/>
    <x v="3"/>
    <n v="233"/>
    <n v="206"/>
    <n v="168"/>
    <n v="38"/>
    <n v="0"/>
  </r>
  <r>
    <x v="15"/>
    <x v="1"/>
    <n v="1"/>
    <n v="1"/>
    <n v="1"/>
    <n v="0"/>
    <n v="0"/>
  </r>
  <r>
    <x v="15"/>
    <x v="2"/>
    <n v="3"/>
    <n v="3"/>
    <n v="2"/>
    <n v="1"/>
    <n v="0"/>
  </r>
  <r>
    <x v="15"/>
    <x v="5"/>
    <n v="1"/>
    <n v="1"/>
    <n v="1"/>
    <n v="0"/>
    <n v="0"/>
  </r>
  <r>
    <x v="16"/>
    <x v="0"/>
    <n v="1"/>
    <n v="0"/>
    <n v="0"/>
    <n v="0"/>
    <n v="0"/>
  </r>
  <r>
    <x v="16"/>
    <x v="1"/>
    <n v="66"/>
    <n v="65"/>
    <n v="46"/>
    <n v="19"/>
    <n v="1"/>
  </r>
  <r>
    <x v="16"/>
    <x v="2"/>
    <n v="93"/>
    <n v="92"/>
    <n v="49"/>
    <n v="43"/>
    <n v="0"/>
  </r>
  <r>
    <x v="16"/>
    <x v="5"/>
    <n v="79"/>
    <n v="76"/>
    <n v="55"/>
    <n v="21"/>
    <n v="2"/>
  </r>
  <r>
    <x v="16"/>
    <x v="3"/>
    <n v="107"/>
    <n v="104"/>
    <n v="73"/>
    <n v="31"/>
    <n v="0"/>
  </r>
  <r>
    <x v="17"/>
    <x v="2"/>
    <n v="16"/>
    <n v="16"/>
    <n v="14"/>
    <n v="2"/>
    <n v="0"/>
  </r>
  <r>
    <x v="17"/>
    <x v="5"/>
    <n v="12"/>
    <n v="12"/>
    <n v="12"/>
    <n v="0"/>
    <n v="0"/>
  </r>
  <r>
    <x v="17"/>
    <x v="3"/>
    <n v="14"/>
    <n v="13"/>
    <n v="10"/>
    <n v="3"/>
    <n v="0"/>
  </r>
  <r>
    <x v="17"/>
    <x v="1"/>
    <n v="9"/>
    <n v="9"/>
    <n v="7"/>
    <n v="2"/>
    <n v="0"/>
  </r>
  <r>
    <x v="18"/>
    <x v="2"/>
    <n v="23"/>
    <n v="21"/>
    <n v="17"/>
    <n v="4"/>
    <n v="0"/>
  </r>
  <r>
    <x v="18"/>
    <x v="3"/>
    <n v="31"/>
    <n v="28"/>
    <n v="21"/>
    <n v="7"/>
    <n v="0"/>
  </r>
  <r>
    <x v="18"/>
    <x v="5"/>
    <n v="42"/>
    <n v="42"/>
    <n v="38"/>
    <n v="4"/>
    <n v="0"/>
  </r>
  <r>
    <x v="18"/>
    <x v="1"/>
    <n v="9"/>
    <n v="8"/>
    <n v="5"/>
    <n v="3"/>
    <n v="0"/>
  </r>
  <r>
    <x v="19"/>
    <x v="2"/>
    <n v="14"/>
    <n v="14"/>
    <n v="9"/>
    <n v="5"/>
    <n v="0"/>
  </r>
  <r>
    <x v="19"/>
    <x v="5"/>
    <n v="31"/>
    <n v="29"/>
    <n v="27"/>
    <n v="2"/>
    <n v="0"/>
  </r>
  <r>
    <x v="19"/>
    <x v="1"/>
    <n v="2"/>
    <n v="2"/>
    <n v="2"/>
    <n v="0"/>
    <n v="0"/>
  </r>
  <r>
    <x v="19"/>
    <x v="3"/>
    <n v="17"/>
    <n v="16"/>
    <n v="14"/>
    <n v="2"/>
    <n v="0"/>
  </r>
  <r>
    <x v="20"/>
    <x v="0"/>
    <n v="1"/>
    <n v="1"/>
    <n v="1"/>
    <n v="0"/>
    <n v="0"/>
  </r>
  <r>
    <x v="20"/>
    <x v="5"/>
    <n v="32"/>
    <n v="32"/>
    <n v="22"/>
    <n v="10"/>
    <n v="0"/>
  </r>
  <r>
    <x v="20"/>
    <x v="1"/>
    <n v="21"/>
    <n v="21"/>
    <n v="21"/>
    <n v="0"/>
    <n v="0"/>
  </r>
  <r>
    <x v="20"/>
    <x v="2"/>
    <n v="41"/>
    <n v="41"/>
    <n v="33"/>
    <n v="8"/>
    <n v="0"/>
  </r>
  <r>
    <x v="20"/>
    <x v="3"/>
    <n v="41"/>
    <n v="40"/>
    <n v="38"/>
    <n v="2"/>
    <n v="1"/>
  </r>
  <r>
    <x v="21"/>
    <x v="2"/>
    <n v="41"/>
    <n v="34"/>
    <n v="30"/>
    <n v="4"/>
    <n v="6"/>
  </r>
  <r>
    <x v="21"/>
    <x v="5"/>
    <n v="36"/>
    <n v="34"/>
    <n v="31"/>
    <n v="3"/>
    <n v="1"/>
  </r>
  <r>
    <x v="21"/>
    <x v="1"/>
    <n v="2"/>
    <n v="2"/>
    <n v="1"/>
    <n v="1"/>
    <n v="0"/>
  </r>
  <r>
    <x v="21"/>
    <x v="3"/>
    <n v="10"/>
    <n v="10"/>
    <n v="9"/>
    <n v="1"/>
    <n v="0"/>
  </r>
  <r>
    <x v="22"/>
    <x v="3"/>
    <n v="55"/>
    <n v="52"/>
    <n v="42"/>
    <n v="10"/>
    <n v="1"/>
  </r>
  <r>
    <x v="22"/>
    <x v="5"/>
    <n v="110"/>
    <n v="110"/>
    <n v="101"/>
    <n v="9"/>
    <n v="0"/>
  </r>
  <r>
    <x v="22"/>
    <x v="1"/>
    <n v="3"/>
    <n v="3"/>
    <n v="2"/>
    <n v="1"/>
    <n v="0"/>
  </r>
  <r>
    <x v="22"/>
    <x v="2"/>
    <n v="56"/>
    <n v="55"/>
    <n v="49"/>
    <n v="6"/>
    <n v="0"/>
  </r>
  <r>
    <x v="23"/>
    <x v="1"/>
    <n v="4"/>
    <n v="4"/>
    <n v="4"/>
    <n v="0"/>
    <n v="0"/>
  </r>
  <r>
    <x v="23"/>
    <x v="2"/>
    <n v="16"/>
    <n v="16"/>
    <n v="12"/>
    <n v="4"/>
    <n v="0"/>
  </r>
  <r>
    <x v="23"/>
    <x v="5"/>
    <n v="10"/>
    <n v="10"/>
    <n v="10"/>
    <n v="0"/>
    <n v="0"/>
  </r>
  <r>
    <x v="23"/>
    <x v="3"/>
    <n v="38"/>
    <n v="37"/>
    <n v="30"/>
    <n v="7"/>
    <n v="0"/>
  </r>
  <r>
    <x v="24"/>
    <x v="1"/>
    <n v="6"/>
    <n v="6"/>
    <n v="4"/>
    <n v="2"/>
    <n v="0"/>
  </r>
  <r>
    <x v="24"/>
    <x v="5"/>
    <n v="22"/>
    <n v="22"/>
    <n v="21"/>
    <n v="1"/>
    <n v="0"/>
  </r>
  <r>
    <x v="24"/>
    <x v="2"/>
    <n v="17"/>
    <n v="17"/>
    <n v="13"/>
    <n v="4"/>
    <n v="0"/>
  </r>
  <r>
    <x v="24"/>
    <x v="3"/>
    <n v="75"/>
    <n v="75"/>
    <n v="58"/>
    <n v="17"/>
    <n v="0"/>
  </r>
  <r>
    <x v="25"/>
    <x v="2"/>
    <n v="73"/>
    <n v="72"/>
    <n v="56"/>
    <n v="16"/>
    <n v="0"/>
  </r>
  <r>
    <x v="25"/>
    <x v="5"/>
    <n v="69"/>
    <n v="67"/>
    <n v="55"/>
    <n v="12"/>
    <n v="0"/>
  </r>
  <r>
    <x v="25"/>
    <x v="3"/>
    <n v="149"/>
    <n v="144"/>
    <n v="123"/>
    <n v="21"/>
    <n v="1"/>
  </r>
  <r>
    <x v="25"/>
    <x v="1"/>
    <n v="56"/>
    <n v="56"/>
    <n v="54"/>
    <n v="2"/>
    <n v="0"/>
  </r>
</pivotCacheRecords>
</file>

<file path=xl/pivotCache/pivotCacheRecords3.xml><?xml version="1.0" encoding="utf-8"?>
<pivotCacheRecords xmlns="http://schemas.openxmlformats.org/spreadsheetml/2006/main" xmlns:r="http://schemas.openxmlformats.org/officeDocument/2006/relationships" count="2750">
  <r>
    <x v="0"/>
    <x v="0"/>
    <n v="2"/>
    <n v="2"/>
    <n v="1"/>
    <n v="1"/>
    <n v="0"/>
  </r>
  <r>
    <x v="0"/>
    <x v="1"/>
    <n v="1"/>
    <n v="0"/>
    <n v="0"/>
    <n v="0"/>
    <n v="1"/>
  </r>
  <r>
    <x v="0"/>
    <x v="2"/>
    <n v="40"/>
    <n v="40"/>
    <n v="39"/>
    <n v="1"/>
    <n v="0"/>
  </r>
  <r>
    <x v="0"/>
    <x v="2"/>
    <n v="63"/>
    <n v="62"/>
    <n v="62"/>
    <n v="0"/>
    <n v="0"/>
  </r>
  <r>
    <x v="0"/>
    <x v="3"/>
    <n v="90"/>
    <n v="86"/>
    <n v="80"/>
    <n v="6"/>
    <n v="0"/>
  </r>
  <r>
    <x v="0"/>
    <x v="3"/>
    <n v="19"/>
    <n v="17"/>
    <n v="16"/>
    <n v="1"/>
    <n v="0"/>
  </r>
  <r>
    <x v="0"/>
    <x v="4"/>
    <n v="68"/>
    <n v="67"/>
    <n v="59"/>
    <n v="8"/>
    <n v="0"/>
  </r>
  <r>
    <x v="0"/>
    <x v="4"/>
    <n v="32"/>
    <n v="30"/>
    <n v="25"/>
    <n v="5"/>
    <n v="0"/>
  </r>
  <r>
    <x v="0"/>
    <x v="5"/>
    <n v="23"/>
    <n v="23"/>
    <n v="20"/>
    <n v="3"/>
    <n v="0"/>
  </r>
  <r>
    <x v="0"/>
    <x v="5"/>
    <n v="9"/>
    <n v="9"/>
    <n v="9"/>
    <n v="0"/>
    <n v="0"/>
  </r>
  <r>
    <x v="0"/>
    <x v="6"/>
    <n v="50"/>
    <n v="50"/>
    <n v="50"/>
    <n v="0"/>
    <n v="0"/>
  </r>
  <r>
    <x v="0"/>
    <x v="6"/>
    <n v="9"/>
    <n v="9"/>
    <n v="9"/>
    <n v="0"/>
    <n v="0"/>
  </r>
  <r>
    <x v="0"/>
    <x v="7"/>
    <n v="40"/>
    <n v="20"/>
    <n v="19"/>
    <n v="1"/>
    <n v="0"/>
  </r>
  <r>
    <x v="0"/>
    <x v="7"/>
    <n v="4"/>
    <n v="3"/>
    <n v="1"/>
    <n v="2"/>
    <n v="0"/>
  </r>
  <r>
    <x v="0"/>
    <x v="8"/>
    <n v="22"/>
    <n v="22"/>
    <n v="22"/>
    <n v="0"/>
    <n v="0"/>
  </r>
  <r>
    <x v="0"/>
    <x v="8"/>
    <n v="7"/>
    <n v="5"/>
    <n v="3"/>
    <n v="2"/>
    <n v="0"/>
  </r>
  <r>
    <x v="0"/>
    <x v="9"/>
    <n v="15"/>
    <n v="15"/>
    <n v="15"/>
    <n v="0"/>
    <n v="0"/>
  </r>
  <r>
    <x v="0"/>
    <x v="9"/>
    <n v="1"/>
    <n v="1"/>
    <n v="1"/>
    <n v="0"/>
    <n v="0"/>
  </r>
  <r>
    <x v="0"/>
    <x v="10"/>
    <n v="59"/>
    <n v="59"/>
    <n v="56"/>
    <n v="3"/>
    <n v="0"/>
  </r>
  <r>
    <x v="0"/>
    <x v="10"/>
    <n v="32"/>
    <n v="32"/>
    <n v="24"/>
    <n v="8"/>
    <n v="0"/>
  </r>
  <r>
    <x v="0"/>
    <x v="11"/>
    <n v="39"/>
    <n v="38"/>
    <n v="38"/>
    <n v="0"/>
    <n v="0"/>
  </r>
  <r>
    <x v="0"/>
    <x v="11"/>
    <n v="19"/>
    <n v="19"/>
    <n v="14"/>
    <n v="5"/>
    <n v="0"/>
  </r>
  <r>
    <x v="1"/>
    <x v="0"/>
    <n v="4"/>
    <n v="4"/>
    <n v="3"/>
    <n v="1"/>
    <n v="0"/>
  </r>
  <r>
    <x v="1"/>
    <x v="12"/>
    <n v="1"/>
    <n v="0"/>
    <n v="0"/>
    <n v="0"/>
    <n v="0"/>
  </r>
  <r>
    <x v="1"/>
    <x v="2"/>
    <n v="118"/>
    <n v="114"/>
    <n v="88"/>
    <n v="26"/>
    <n v="0"/>
  </r>
  <r>
    <x v="1"/>
    <x v="2"/>
    <n v="60"/>
    <n v="54"/>
    <n v="35"/>
    <n v="19"/>
    <n v="0"/>
  </r>
  <r>
    <x v="1"/>
    <x v="3"/>
    <n v="101"/>
    <n v="97"/>
    <n v="55"/>
    <n v="42"/>
    <n v="0"/>
  </r>
  <r>
    <x v="1"/>
    <x v="3"/>
    <n v="72"/>
    <n v="67"/>
    <n v="57"/>
    <n v="10"/>
    <n v="0"/>
  </r>
  <r>
    <x v="1"/>
    <x v="4"/>
    <n v="12"/>
    <n v="12"/>
    <n v="0"/>
    <n v="12"/>
    <n v="0"/>
  </r>
  <r>
    <x v="1"/>
    <x v="4"/>
    <n v="12"/>
    <n v="12"/>
    <n v="0"/>
    <n v="12"/>
    <n v="0"/>
  </r>
  <r>
    <x v="1"/>
    <x v="5"/>
    <n v="171"/>
    <n v="167"/>
    <n v="118"/>
    <n v="49"/>
    <n v="1"/>
  </r>
  <r>
    <x v="1"/>
    <x v="5"/>
    <n v="101"/>
    <n v="96"/>
    <n v="72"/>
    <n v="24"/>
    <n v="0"/>
  </r>
  <r>
    <x v="1"/>
    <x v="6"/>
    <n v="234"/>
    <n v="234"/>
    <n v="233"/>
    <n v="1"/>
    <n v="0"/>
  </r>
  <r>
    <x v="1"/>
    <x v="6"/>
    <n v="109"/>
    <n v="108"/>
    <n v="107"/>
    <n v="1"/>
    <n v="0"/>
  </r>
  <r>
    <x v="1"/>
    <x v="7"/>
    <n v="137"/>
    <n v="132"/>
    <n v="69"/>
    <n v="63"/>
    <n v="0"/>
  </r>
  <r>
    <x v="1"/>
    <x v="7"/>
    <n v="35"/>
    <n v="31"/>
    <n v="25"/>
    <n v="6"/>
    <n v="0"/>
  </r>
  <r>
    <x v="1"/>
    <x v="8"/>
    <n v="44"/>
    <n v="40"/>
    <n v="31"/>
    <n v="9"/>
    <n v="0"/>
  </r>
  <r>
    <x v="1"/>
    <x v="8"/>
    <n v="55"/>
    <n v="51"/>
    <n v="22"/>
    <n v="29"/>
    <n v="0"/>
  </r>
  <r>
    <x v="1"/>
    <x v="9"/>
    <n v="52"/>
    <n v="49"/>
    <n v="34"/>
    <n v="15"/>
    <n v="0"/>
  </r>
  <r>
    <x v="1"/>
    <x v="9"/>
    <n v="14"/>
    <n v="13"/>
    <n v="13"/>
    <n v="0"/>
    <n v="0"/>
  </r>
  <r>
    <x v="1"/>
    <x v="10"/>
    <n v="100"/>
    <n v="99"/>
    <n v="86"/>
    <n v="13"/>
    <n v="1"/>
  </r>
  <r>
    <x v="1"/>
    <x v="10"/>
    <n v="73"/>
    <n v="73"/>
    <n v="59"/>
    <n v="14"/>
    <n v="0"/>
  </r>
  <r>
    <x v="1"/>
    <x v="11"/>
    <n v="113"/>
    <n v="108"/>
    <n v="74"/>
    <n v="34"/>
    <n v="0"/>
  </r>
  <r>
    <x v="1"/>
    <x v="11"/>
    <n v="22"/>
    <n v="17"/>
    <n v="15"/>
    <n v="2"/>
    <n v="0"/>
  </r>
  <r>
    <x v="2"/>
    <x v="0"/>
    <n v="3"/>
    <n v="3"/>
    <n v="3"/>
    <n v="0"/>
    <n v="0"/>
  </r>
  <r>
    <x v="2"/>
    <x v="12"/>
    <n v="2"/>
    <n v="0"/>
    <n v="0"/>
    <n v="0"/>
    <n v="0"/>
  </r>
  <r>
    <x v="2"/>
    <x v="2"/>
    <n v="34"/>
    <n v="34"/>
    <n v="15"/>
    <n v="19"/>
    <n v="0"/>
  </r>
  <r>
    <x v="2"/>
    <x v="2"/>
    <n v="51"/>
    <n v="47"/>
    <n v="43"/>
    <n v="4"/>
    <n v="0"/>
  </r>
  <r>
    <x v="2"/>
    <x v="3"/>
    <n v="17"/>
    <n v="17"/>
    <n v="4"/>
    <n v="13"/>
    <n v="0"/>
  </r>
  <r>
    <x v="2"/>
    <x v="3"/>
    <n v="40"/>
    <n v="40"/>
    <n v="23"/>
    <n v="17"/>
    <n v="0"/>
  </r>
  <r>
    <x v="2"/>
    <x v="4"/>
    <n v="6"/>
    <n v="6"/>
    <n v="0"/>
    <n v="6"/>
    <n v="0"/>
  </r>
  <r>
    <x v="2"/>
    <x v="4"/>
    <n v="7"/>
    <n v="7"/>
    <n v="0"/>
    <n v="7"/>
    <n v="0"/>
  </r>
  <r>
    <x v="2"/>
    <x v="5"/>
    <n v="109"/>
    <n v="107"/>
    <n v="79"/>
    <n v="28"/>
    <n v="0"/>
  </r>
  <r>
    <x v="2"/>
    <x v="5"/>
    <n v="181"/>
    <n v="179"/>
    <n v="105"/>
    <n v="74"/>
    <n v="0"/>
  </r>
  <r>
    <x v="2"/>
    <x v="6"/>
    <n v="79"/>
    <n v="79"/>
    <n v="78"/>
    <n v="1"/>
    <n v="0"/>
  </r>
  <r>
    <x v="2"/>
    <x v="6"/>
    <n v="100"/>
    <n v="99"/>
    <n v="89"/>
    <n v="10"/>
    <n v="0"/>
  </r>
  <r>
    <x v="2"/>
    <x v="7"/>
    <n v="25"/>
    <n v="24"/>
    <n v="15"/>
    <n v="9"/>
    <n v="0"/>
  </r>
  <r>
    <x v="2"/>
    <x v="7"/>
    <n v="13"/>
    <n v="12"/>
    <n v="9"/>
    <n v="3"/>
    <n v="0"/>
  </r>
  <r>
    <x v="2"/>
    <x v="8"/>
    <n v="14"/>
    <n v="14"/>
    <n v="6"/>
    <n v="8"/>
    <n v="0"/>
  </r>
  <r>
    <x v="2"/>
    <x v="8"/>
    <n v="8"/>
    <n v="7"/>
    <n v="3"/>
    <n v="4"/>
    <n v="0"/>
  </r>
  <r>
    <x v="2"/>
    <x v="9"/>
    <n v="4"/>
    <n v="4"/>
    <n v="4"/>
    <n v="0"/>
    <n v="0"/>
  </r>
  <r>
    <x v="2"/>
    <x v="9"/>
    <n v="6"/>
    <n v="6"/>
    <n v="6"/>
    <n v="0"/>
    <n v="0"/>
  </r>
  <r>
    <x v="2"/>
    <x v="10"/>
    <n v="55"/>
    <n v="55"/>
    <n v="49"/>
    <n v="6"/>
    <n v="0"/>
  </r>
  <r>
    <x v="2"/>
    <x v="10"/>
    <n v="42"/>
    <n v="41"/>
    <n v="33"/>
    <n v="8"/>
    <n v="0"/>
  </r>
  <r>
    <x v="2"/>
    <x v="11"/>
    <n v="41"/>
    <n v="41"/>
    <n v="20"/>
    <n v="21"/>
    <n v="0"/>
  </r>
  <r>
    <x v="2"/>
    <x v="11"/>
    <n v="20"/>
    <n v="18"/>
    <n v="17"/>
    <n v="1"/>
    <n v="0"/>
  </r>
  <r>
    <x v="3"/>
    <x v="0"/>
    <n v="1"/>
    <n v="1"/>
    <n v="1"/>
    <n v="0"/>
    <n v="0"/>
  </r>
  <r>
    <x v="3"/>
    <x v="2"/>
    <n v="14"/>
    <n v="14"/>
    <n v="3"/>
    <n v="11"/>
    <n v="0"/>
  </r>
  <r>
    <x v="3"/>
    <x v="2"/>
    <n v="35"/>
    <n v="34"/>
    <n v="28"/>
    <n v="6"/>
    <n v="1"/>
  </r>
  <r>
    <x v="3"/>
    <x v="3"/>
    <n v="72"/>
    <n v="69"/>
    <n v="48"/>
    <n v="21"/>
    <n v="1"/>
  </r>
  <r>
    <x v="3"/>
    <x v="3"/>
    <n v="42"/>
    <n v="42"/>
    <n v="29"/>
    <n v="13"/>
    <n v="0"/>
  </r>
  <r>
    <x v="3"/>
    <x v="4"/>
    <n v="86"/>
    <n v="83"/>
    <n v="57"/>
    <n v="26"/>
    <n v="0"/>
  </r>
  <r>
    <x v="3"/>
    <x v="4"/>
    <n v="68"/>
    <n v="60"/>
    <n v="45"/>
    <n v="15"/>
    <n v="0"/>
  </r>
  <r>
    <x v="3"/>
    <x v="5"/>
    <n v="19"/>
    <n v="19"/>
    <n v="6"/>
    <n v="13"/>
    <n v="0"/>
  </r>
  <r>
    <x v="3"/>
    <x v="5"/>
    <n v="24"/>
    <n v="23"/>
    <n v="17"/>
    <n v="6"/>
    <n v="0"/>
  </r>
  <r>
    <x v="3"/>
    <x v="6"/>
    <n v="34"/>
    <n v="33"/>
    <n v="33"/>
    <n v="0"/>
    <n v="0"/>
  </r>
  <r>
    <x v="3"/>
    <x v="6"/>
    <n v="14"/>
    <n v="14"/>
    <n v="14"/>
    <n v="0"/>
    <n v="0"/>
  </r>
  <r>
    <x v="3"/>
    <x v="7"/>
    <n v="12"/>
    <n v="9"/>
    <n v="7"/>
    <n v="2"/>
    <n v="0"/>
  </r>
  <r>
    <x v="3"/>
    <x v="7"/>
    <n v="15"/>
    <n v="14"/>
    <n v="8"/>
    <n v="6"/>
    <n v="0"/>
  </r>
  <r>
    <x v="3"/>
    <x v="8"/>
    <n v="44"/>
    <n v="43"/>
    <n v="26"/>
    <n v="17"/>
    <n v="0"/>
  </r>
  <r>
    <x v="3"/>
    <x v="8"/>
    <n v="36"/>
    <n v="36"/>
    <n v="18"/>
    <n v="18"/>
    <n v="0"/>
  </r>
  <r>
    <x v="3"/>
    <x v="9"/>
    <n v="18"/>
    <n v="14"/>
    <n v="13"/>
    <n v="1"/>
    <n v="0"/>
  </r>
  <r>
    <x v="3"/>
    <x v="9"/>
    <n v="14"/>
    <n v="12"/>
    <n v="10"/>
    <n v="2"/>
    <n v="0"/>
  </r>
  <r>
    <x v="3"/>
    <x v="10"/>
    <n v="36"/>
    <n v="36"/>
    <n v="29"/>
    <n v="7"/>
    <n v="0"/>
  </r>
  <r>
    <x v="3"/>
    <x v="10"/>
    <n v="42"/>
    <n v="42"/>
    <n v="33"/>
    <n v="9"/>
    <n v="0"/>
  </r>
  <r>
    <x v="3"/>
    <x v="11"/>
    <n v="14"/>
    <n v="14"/>
    <n v="12"/>
    <n v="2"/>
    <n v="0"/>
  </r>
  <r>
    <x v="3"/>
    <x v="11"/>
    <n v="6"/>
    <n v="6"/>
    <n v="6"/>
    <n v="0"/>
    <n v="0"/>
  </r>
  <r>
    <x v="4"/>
    <x v="0"/>
    <n v="1"/>
    <n v="0"/>
    <n v="0"/>
    <n v="0"/>
    <n v="1"/>
  </r>
  <r>
    <x v="4"/>
    <x v="12"/>
    <n v="6"/>
    <n v="0"/>
    <n v="0"/>
    <n v="0"/>
    <n v="0"/>
  </r>
  <r>
    <x v="4"/>
    <x v="2"/>
    <n v="81"/>
    <n v="78"/>
    <n v="52"/>
    <n v="26"/>
    <n v="0"/>
  </r>
  <r>
    <x v="4"/>
    <x v="2"/>
    <n v="67"/>
    <n v="66"/>
    <n v="58"/>
    <n v="8"/>
    <n v="0"/>
  </r>
  <r>
    <x v="4"/>
    <x v="3"/>
    <n v="74"/>
    <n v="74"/>
    <n v="45"/>
    <n v="29"/>
    <n v="0"/>
  </r>
  <r>
    <x v="4"/>
    <x v="3"/>
    <n v="61"/>
    <n v="58"/>
    <n v="50"/>
    <n v="8"/>
    <n v="0"/>
  </r>
  <r>
    <x v="4"/>
    <x v="4"/>
    <n v="15"/>
    <n v="15"/>
    <n v="0"/>
    <n v="15"/>
    <n v="0"/>
  </r>
  <r>
    <x v="4"/>
    <x v="4"/>
    <n v="11"/>
    <n v="11"/>
    <n v="0"/>
    <n v="11"/>
    <n v="0"/>
  </r>
  <r>
    <x v="4"/>
    <x v="5"/>
    <n v="151"/>
    <n v="148"/>
    <n v="105"/>
    <n v="43"/>
    <n v="0"/>
  </r>
  <r>
    <x v="4"/>
    <x v="5"/>
    <n v="87"/>
    <n v="83"/>
    <n v="73"/>
    <n v="10"/>
    <n v="0"/>
  </r>
  <r>
    <x v="4"/>
    <x v="6"/>
    <n v="216"/>
    <n v="212"/>
    <n v="212"/>
    <n v="0"/>
    <n v="0"/>
  </r>
  <r>
    <x v="4"/>
    <x v="6"/>
    <n v="111"/>
    <n v="107"/>
    <n v="106"/>
    <n v="1"/>
    <n v="0"/>
  </r>
  <r>
    <x v="4"/>
    <x v="7"/>
    <n v="100"/>
    <n v="57"/>
    <n v="50"/>
    <n v="7"/>
    <n v="34"/>
  </r>
  <r>
    <x v="4"/>
    <x v="7"/>
    <n v="58"/>
    <n v="29"/>
    <n v="22"/>
    <n v="7"/>
    <n v="22"/>
  </r>
  <r>
    <x v="4"/>
    <x v="8"/>
    <n v="44"/>
    <n v="44"/>
    <n v="33"/>
    <n v="11"/>
    <n v="0"/>
  </r>
  <r>
    <x v="4"/>
    <x v="8"/>
    <n v="28"/>
    <n v="28"/>
    <n v="19"/>
    <n v="9"/>
    <n v="0"/>
  </r>
  <r>
    <x v="4"/>
    <x v="9"/>
    <n v="34"/>
    <n v="33"/>
    <n v="33"/>
    <n v="0"/>
    <n v="0"/>
  </r>
  <r>
    <x v="4"/>
    <x v="9"/>
    <n v="10"/>
    <n v="10"/>
    <n v="10"/>
    <n v="0"/>
    <n v="0"/>
  </r>
  <r>
    <x v="4"/>
    <x v="10"/>
    <n v="93"/>
    <n v="92"/>
    <n v="83"/>
    <n v="9"/>
    <n v="0"/>
  </r>
  <r>
    <x v="4"/>
    <x v="10"/>
    <n v="61"/>
    <n v="61"/>
    <n v="53"/>
    <n v="8"/>
    <n v="0"/>
  </r>
  <r>
    <x v="4"/>
    <x v="11"/>
    <n v="68"/>
    <n v="57"/>
    <n v="32"/>
    <n v="25"/>
    <n v="0"/>
  </r>
  <r>
    <x v="4"/>
    <x v="11"/>
    <n v="1"/>
    <n v="0"/>
    <n v="0"/>
    <n v="0"/>
    <n v="0"/>
  </r>
  <r>
    <x v="5"/>
    <x v="12"/>
    <n v="8"/>
    <n v="0"/>
    <n v="0"/>
    <n v="0"/>
    <n v="0"/>
  </r>
  <r>
    <x v="5"/>
    <x v="2"/>
    <n v="69"/>
    <n v="67"/>
    <n v="24"/>
    <n v="43"/>
    <n v="1"/>
  </r>
  <r>
    <x v="5"/>
    <x v="2"/>
    <n v="104"/>
    <n v="93"/>
    <n v="77"/>
    <n v="16"/>
    <n v="1"/>
  </r>
  <r>
    <x v="5"/>
    <x v="3"/>
    <n v="80"/>
    <n v="76"/>
    <n v="43"/>
    <n v="33"/>
    <n v="0"/>
  </r>
  <r>
    <x v="5"/>
    <x v="3"/>
    <n v="65"/>
    <n v="59"/>
    <n v="28"/>
    <n v="31"/>
    <n v="0"/>
  </r>
  <r>
    <x v="5"/>
    <x v="4"/>
    <n v="16"/>
    <n v="15"/>
    <n v="0"/>
    <n v="15"/>
    <n v="0"/>
  </r>
  <r>
    <x v="5"/>
    <x v="4"/>
    <n v="12"/>
    <n v="10"/>
    <n v="0"/>
    <n v="10"/>
    <n v="0"/>
  </r>
  <r>
    <x v="5"/>
    <x v="5"/>
    <n v="116"/>
    <n v="110"/>
    <n v="64"/>
    <n v="46"/>
    <n v="0"/>
  </r>
  <r>
    <x v="5"/>
    <x v="5"/>
    <n v="86"/>
    <n v="82"/>
    <n v="55"/>
    <n v="27"/>
    <n v="0"/>
  </r>
  <r>
    <x v="5"/>
    <x v="6"/>
    <n v="104"/>
    <n v="103"/>
    <n v="100"/>
    <n v="3"/>
    <n v="0"/>
  </r>
  <r>
    <x v="5"/>
    <x v="6"/>
    <n v="108"/>
    <n v="105"/>
    <n v="105"/>
    <n v="0"/>
    <n v="0"/>
  </r>
  <r>
    <x v="5"/>
    <x v="7"/>
    <n v="46"/>
    <n v="22"/>
    <n v="20"/>
    <n v="2"/>
    <n v="0"/>
  </r>
  <r>
    <x v="5"/>
    <x v="7"/>
    <n v="42"/>
    <n v="31"/>
    <n v="27"/>
    <n v="4"/>
    <n v="0"/>
  </r>
  <r>
    <x v="5"/>
    <x v="8"/>
    <n v="34"/>
    <n v="31"/>
    <n v="16"/>
    <n v="15"/>
    <n v="0"/>
  </r>
  <r>
    <x v="5"/>
    <x v="8"/>
    <n v="43"/>
    <n v="43"/>
    <n v="20"/>
    <n v="23"/>
    <n v="0"/>
  </r>
  <r>
    <x v="5"/>
    <x v="9"/>
    <n v="24"/>
    <n v="24"/>
    <n v="17"/>
    <n v="7"/>
    <n v="0"/>
  </r>
  <r>
    <x v="5"/>
    <x v="9"/>
    <n v="21"/>
    <n v="21"/>
    <n v="13"/>
    <n v="8"/>
    <n v="0"/>
  </r>
  <r>
    <x v="5"/>
    <x v="10"/>
    <n v="49"/>
    <n v="49"/>
    <n v="36"/>
    <n v="13"/>
    <n v="0"/>
  </r>
  <r>
    <x v="5"/>
    <x v="10"/>
    <n v="57"/>
    <n v="57"/>
    <n v="37"/>
    <n v="20"/>
    <n v="0"/>
  </r>
  <r>
    <x v="5"/>
    <x v="11"/>
    <n v="33"/>
    <n v="29"/>
    <n v="27"/>
    <n v="2"/>
    <n v="0"/>
  </r>
  <r>
    <x v="5"/>
    <x v="11"/>
    <n v="25"/>
    <n v="19"/>
    <n v="18"/>
    <n v="1"/>
    <n v="0"/>
  </r>
  <r>
    <x v="6"/>
    <x v="0"/>
    <n v="5"/>
    <n v="4"/>
    <n v="4"/>
    <n v="0"/>
    <n v="0"/>
  </r>
  <r>
    <x v="6"/>
    <x v="12"/>
    <n v="1"/>
    <n v="0"/>
    <n v="0"/>
    <n v="0"/>
    <n v="0"/>
  </r>
  <r>
    <x v="6"/>
    <x v="2"/>
    <n v="64"/>
    <n v="64"/>
    <n v="57"/>
    <n v="7"/>
    <n v="0"/>
  </r>
  <r>
    <x v="6"/>
    <x v="2"/>
    <n v="32"/>
    <n v="32"/>
    <n v="27"/>
    <n v="5"/>
    <n v="0"/>
  </r>
  <r>
    <x v="6"/>
    <x v="3"/>
    <n v="100"/>
    <n v="95"/>
    <n v="72"/>
    <n v="23"/>
    <n v="0"/>
  </r>
  <r>
    <x v="6"/>
    <x v="3"/>
    <n v="104"/>
    <n v="102"/>
    <n v="96"/>
    <n v="6"/>
    <n v="1"/>
  </r>
  <r>
    <x v="6"/>
    <x v="4"/>
    <n v="125"/>
    <n v="121"/>
    <n v="103"/>
    <n v="18"/>
    <n v="1"/>
  </r>
  <r>
    <x v="6"/>
    <x v="4"/>
    <n v="103"/>
    <n v="101"/>
    <n v="81"/>
    <n v="20"/>
    <n v="0"/>
  </r>
  <r>
    <x v="6"/>
    <x v="13"/>
    <n v="1"/>
    <n v="1"/>
    <n v="1"/>
    <n v="0"/>
    <n v="0"/>
  </r>
  <r>
    <x v="6"/>
    <x v="5"/>
    <n v="74"/>
    <n v="74"/>
    <n v="50"/>
    <n v="24"/>
    <n v="0"/>
  </r>
  <r>
    <x v="6"/>
    <x v="5"/>
    <n v="30"/>
    <n v="29"/>
    <n v="21"/>
    <n v="8"/>
    <n v="0"/>
  </r>
  <r>
    <x v="6"/>
    <x v="6"/>
    <n v="163"/>
    <n v="163"/>
    <n v="163"/>
    <n v="0"/>
    <n v="0"/>
  </r>
  <r>
    <x v="6"/>
    <x v="6"/>
    <n v="63"/>
    <n v="59"/>
    <n v="59"/>
    <n v="0"/>
    <n v="0"/>
  </r>
  <r>
    <x v="6"/>
    <x v="8"/>
    <n v="40"/>
    <n v="40"/>
    <n v="36"/>
    <n v="4"/>
    <n v="0"/>
  </r>
  <r>
    <x v="6"/>
    <x v="8"/>
    <n v="20"/>
    <n v="20"/>
    <n v="15"/>
    <n v="5"/>
    <n v="0"/>
  </r>
  <r>
    <x v="6"/>
    <x v="9"/>
    <n v="40"/>
    <n v="40"/>
    <n v="37"/>
    <n v="3"/>
    <n v="0"/>
  </r>
  <r>
    <x v="6"/>
    <x v="9"/>
    <n v="6"/>
    <n v="6"/>
    <n v="6"/>
    <n v="0"/>
    <n v="0"/>
  </r>
  <r>
    <x v="6"/>
    <x v="10"/>
    <n v="81"/>
    <n v="81"/>
    <n v="68"/>
    <n v="13"/>
    <n v="0"/>
  </r>
  <r>
    <x v="6"/>
    <x v="10"/>
    <n v="60"/>
    <n v="60"/>
    <n v="54"/>
    <n v="6"/>
    <n v="0"/>
  </r>
  <r>
    <x v="6"/>
    <x v="11"/>
    <n v="50"/>
    <n v="44"/>
    <n v="43"/>
    <n v="1"/>
    <n v="0"/>
  </r>
  <r>
    <x v="6"/>
    <x v="11"/>
    <n v="5"/>
    <n v="0"/>
    <n v="0"/>
    <n v="0"/>
    <n v="0"/>
  </r>
  <r>
    <x v="7"/>
    <x v="0"/>
    <n v="5"/>
    <n v="3"/>
    <n v="1"/>
    <n v="2"/>
    <n v="0"/>
  </r>
  <r>
    <x v="7"/>
    <x v="0"/>
    <n v="2"/>
    <n v="2"/>
    <n v="2"/>
    <n v="0"/>
    <n v="0"/>
  </r>
  <r>
    <x v="7"/>
    <x v="12"/>
    <n v="5"/>
    <n v="0"/>
    <n v="0"/>
    <n v="0"/>
    <n v="0"/>
  </r>
  <r>
    <x v="7"/>
    <x v="12"/>
    <n v="1"/>
    <n v="0"/>
    <n v="0"/>
    <n v="0"/>
    <n v="0"/>
  </r>
  <r>
    <x v="7"/>
    <x v="2"/>
    <n v="39"/>
    <n v="38"/>
    <n v="29"/>
    <n v="9"/>
    <n v="1"/>
  </r>
  <r>
    <x v="7"/>
    <x v="2"/>
    <n v="39"/>
    <n v="37"/>
    <n v="26"/>
    <n v="11"/>
    <n v="0"/>
  </r>
  <r>
    <x v="7"/>
    <x v="3"/>
    <n v="83"/>
    <n v="78"/>
    <n v="64"/>
    <n v="14"/>
    <n v="0"/>
  </r>
  <r>
    <x v="7"/>
    <x v="3"/>
    <n v="36"/>
    <n v="36"/>
    <n v="31"/>
    <n v="5"/>
    <n v="0"/>
  </r>
  <r>
    <x v="7"/>
    <x v="4"/>
    <n v="123"/>
    <n v="117"/>
    <n v="80"/>
    <n v="37"/>
    <n v="0"/>
  </r>
  <r>
    <x v="7"/>
    <x v="4"/>
    <n v="92"/>
    <n v="85"/>
    <n v="81"/>
    <n v="4"/>
    <n v="0"/>
  </r>
  <r>
    <x v="7"/>
    <x v="5"/>
    <n v="134"/>
    <n v="132"/>
    <n v="88"/>
    <n v="44"/>
    <n v="0"/>
  </r>
  <r>
    <x v="7"/>
    <x v="5"/>
    <n v="76"/>
    <n v="73"/>
    <n v="50"/>
    <n v="23"/>
    <n v="0"/>
  </r>
  <r>
    <x v="7"/>
    <x v="6"/>
    <n v="162"/>
    <n v="162"/>
    <n v="157"/>
    <n v="5"/>
    <n v="0"/>
  </r>
  <r>
    <x v="7"/>
    <x v="6"/>
    <n v="67"/>
    <n v="65"/>
    <n v="64"/>
    <n v="1"/>
    <n v="0"/>
  </r>
  <r>
    <x v="7"/>
    <x v="7"/>
    <n v="32"/>
    <n v="29"/>
    <n v="22"/>
    <n v="7"/>
    <n v="1"/>
  </r>
  <r>
    <x v="7"/>
    <x v="7"/>
    <n v="21"/>
    <n v="20"/>
    <n v="12"/>
    <n v="8"/>
    <n v="1"/>
  </r>
  <r>
    <x v="7"/>
    <x v="8"/>
    <n v="64"/>
    <n v="63"/>
    <n v="54"/>
    <n v="9"/>
    <n v="0"/>
  </r>
  <r>
    <x v="7"/>
    <x v="8"/>
    <n v="15"/>
    <n v="15"/>
    <n v="12"/>
    <n v="3"/>
    <n v="0"/>
  </r>
  <r>
    <x v="7"/>
    <x v="9"/>
    <n v="37"/>
    <n v="37"/>
    <n v="34"/>
    <n v="3"/>
    <n v="0"/>
  </r>
  <r>
    <x v="7"/>
    <x v="9"/>
    <n v="12"/>
    <n v="12"/>
    <n v="8"/>
    <n v="4"/>
    <n v="0"/>
  </r>
  <r>
    <x v="7"/>
    <x v="10"/>
    <n v="114"/>
    <n v="113"/>
    <n v="88"/>
    <n v="25"/>
    <n v="0"/>
  </r>
  <r>
    <x v="7"/>
    <x v="10"/>
    <n v="55"/>
    <n v="55"/>
    <n v="39"/>
    <n v="16"/>
    <n v="0"/>
  </r>
  <r>
    <x v="7"/>
    <x v="11"/>
    <n v="35"/>
    <n v="32"/>
    <n v="26"/>
    <n v="6"/>
    <n v="0"/>
  </r>
  <r>
    <x v="7"/>
    <x v="11"/>
    <n v="15"/>
    <n v="15"/>
    <n v="14"/>
    <n v="1"/>
    <n v="0"/>
  </r>
  <r>
    <x v="8"/>
    <x v="0"/>
    <n v="2"/>
    <n v="2"/>
    <n v="2"/>
    <n v="0"/>
    <n v="0"/>
  </r>
  <r>
    <x v="8"/>
    <x v="0"/>
    <n v="2"/>
    <n v="2"/>
    <n v="1"/>
    <n v="1"/>
    <n v="0"/>
  </r>
  <r>
    <x v="8"/>
    <x v="12"/>
    <n v="2"/>
    <n v="0"/>
    <n v="0"/>
    <n v="0"/>
    <n v="0"/>
  </r>
  <r>
    <x v="8"/>
    <x v="2"/>
    <n v="7"/>
    <n v="7"/>
    <n v="3"/>
    <n v="4"/>
    <n v="0"/>
  </r>
  <r>
    <x v="8"/>
    <x v="2"/>
    <n v="9"/>
    <n v="9"/>
    <n v="7"/>
    <n v="2"/>
    <n v="0"/>
  </r>
  <r>
    <x v="8"/>
    <x v="3"/>
    <n v="5"/>
    <n v="5"/>
    <n v="2"/>
    <n v="3"/>
    <n v="0"/>
  </r>
  <r>
    <x v="8"/>
    <x v="3"/>
    <n v="11"/>
    <n v="11"/>
    <n v="7"/>
    <n v="4"/>
    <n v="0"/>
  </r>
  <r>
    <x v="8"/>
    <x v="4"/>
    <n v="3"/>
    <n v="3"/>
    <n v="0"/>
    <n v="3"/>
    <n v="0"/>
  </r>
  <r>
    <x v="8"/>
    <x v="4"/>
    <n v="5"/>
    <n v="5"/>
    <n v="0"/>
    <n v="5"/>
    <n v="0"/>
  </r>
  <r>
    <x v="8"/>
    <x v="5"/>
    <n v="79"/>
    <n v="79"/>
    <n v="21"/>
    <n v="58"/>
    <n v="0"/>
  </r>
  <r>
    <x v="8"/>
    <x v="5"/>
    <n v="67"/>
    <n v="65"/>
    <n v="50"/>
    <n v="15"/>
    <n v="1"/>
  </r>
  <r>
    <x v="8"/>
    <x v="6"/>
    <n v="21"/>
    <n v="21"/>
    <n v="20"/>
    <n v="1"/>
    <n v="0"/>
  </r>
  <r>
    <x v="8"/>
    <x v="6"/>
    <n v="18"/>
    <n v="18"/>
    <n v="18"/>
    <n v="0"/>
    <n v="0"/>
  </r>
  <r>
    <x v="8"/>
    <x v="7"/>
    <n v="3"/>
    <n v="3"/>
    <n v="3"/>
    <n v="0"/>
    <n v="0"/>
  </r>
  <r>
    <x v="8"/>
    <x v="7"/>
    <n v="3"/>
    <n v="3"/>
    <n v="0"/>
    <n v="3"/>
    <n v="0"/>
  </r>
  <r>
    <x v="8"/>
    <x v="8"/>
    <n v="4"/>
    <n v="4"/>
    <n v="1"/>
    <n v="3"/>
    <n v="0"/>
  </r>
  <r>
    <x v="8"/>
    <x v="8"/>
    <n v="1"/>
    <n v="1"/>
    <n v="0"/>
    <n v="1"/>
    <n v="0"/>
  </r>
  <r>
    <x v="8"/>
    <x v="9"/>
    <n v="1"/>
    <n v="1"/>
    <n v="1"/>
    <n v="0"/>
    <n v="0"/>
  </r>
  <r>
    <x v="8"/>
    <x v="9"/>
    <n v="1"/>
    <n v="1"/>
    <n v="0"/>
    <n v="1"/>
    <n v="0"/>
  </r>
  <r>
    <x v="8"/>
    <x v="10"/>
    <n v="28"/>
    <n v="28"/>
    <n v="22"/>
    <n v="6"/>
    <n v="0"/>
  </r>
  <r>
    <x v="8"/>
    <x v="10"/>
    <n v="25"/>
    <n v="25"/>
    <n v="16"/>
    <n v="9"/>
    <n v="0"/>
  </r>
  <r>
    <x v="8"/>
    <x v="11"/>
    <n v="6"/>
    <n v="6"/>
    <n v="6"/>
    <n v="0"/>
    <n v="0"/>
  </r>
  <r>
    <x v="8"/>
    <x v="11"/>
    <n v="3"/>
    <n v="3"/>
    <n v="3"/>
    <n v="0"/>
    <n v="0"/>
  </r>
  <r>
    <x v="9"/>
    <x v="0"/>
    <n v="4"/>
    <n v="4"/>
    <n v="4"/>
    <n v="0"/>
    <n v="0"/>
  </r>
  <r>
    <x v="9"/>
    <x v="0"/>
    <n v="3"/>
    <n v="2"/>
    <n v="2"/>
    <n v="0"/>
    <n v="0"/>
  </r>
  <r>
    <x v="9"/>
    <x v="12"/>
    <n v="1"/>
    <n v="0"/>
    <n v="0"/>
    <n v="0"/>
    <n v="1"/>
  </r>
  <r>
    <x v="9"/>
    <x v="2"/>
    <n v="68"/>
    <n v="67"/>
    <n v="56"/>
    <n v="11"/>
    <n v="0"/>
  </r>
  <r>
    <x v="9"/>
    <x v="2"/>
    <n v="51"/>
    <n v="48"/>
    <n v="40"/>
    <n v="8"/>
    <n v="0"/>
  </r>
  <r>
    <x v="9"/>
    <x v="3"/>
    <n v="118"/>
    <n v="114"/>
    <n v="103"/>
    <n v="11"/>
    <n v="3"/>
  </r>
  <r>
    <x v="9"/>
    <x v="3"/>
    <n v="114"/>
    <n v="107"/>
    <n v="87"/>
    <n v="20"/>
    <n v="2"/>
  </r>
  <r>
    <x v="9"/>
    <x v="4"/>
    <n v="158"/>
    <n v="149"/>
    <n v="135"/>
    <n v="14"/>
    <n v="2"/>
  </r>
  <r>
    <x v="9"/>
    <x v="4"/>
    <n v="155"/>
    <n v="146"/>
    <n v="126"/>
    <n v="20"/>
    <n v="3"/>
  </r>
  <r>
    <x v="9"/>
    <x v="13"/>
    <n v="3"/>
    <n v="3"/>
    <n v="2"/>
    <n v="1"/>
    <n v="0"/>
  </r>
  <r>
    <x v="9"/>
    <x v="5"/>
    <n v="77"/>
    <n v="76"/>
    <n v="62"/>
    <n v="14"/>
    <n v="1"/>
  </r>
  <r>
    <x v="9"/>
    <x v="5"/>
    <n v="78"/>
    <n v="73"/>
    <n v="59"/>
    <n v="14"/>
    <n v="4"/>
  </r>
  <r>
    <x v="9"/>
    <x v="6"/>
    <n v="104"/>
    <n v="104"/>
    <n v="103"/>
    <n v="1"/>
    <n v="0"/>
  </r>
  <r>
    <x v="9"/>
    <x v="6"/>
    <n v="34"/>
    <n v="34"/>
    <n v="34"/>
    <n v="0"/>
    <n v="0"/>
  </r>
  <r>
    <x v="9"/>
    <x v="7"/>
    <n v="84"/>
    <n v="74"/>
    <n v="64"/>
    <n v="10"/>
    <n v="0"/>
  </r>
  <r>
    <x v="9"/>
    <x v="7"/>
    <n v="51"/>
    <n v="38"/>
    <n v="34"/>
    <n v="4"/>
    <n v="0"/>
  </r>
  <r>
    <x v="9"/>
    <x v="8"/>
    <n v="73"/>
    <n v="72"/>
    <n v="56"/>
    <n v="16"/>
    <n v="1"/>
  </r>
  <r>
    <x v="9"/>
    <x v="8"/>
    <n v="58"/>
    <n v="56"/>
    <n v="33"/>
    <n v="23"/>
    <n v="2"/>
  </r>
  <r>
    <x v="9"/>
    <x v="9"/>
    <n v="41"/>
    <n v="40"/>
    <n v="40"/>
    <n v="0"/>
    <n v="1"/>
  </r>
  <r>
    <x v="9"/>
    <x v="9"/>
    <n v="18"/>
    <n v="18"/>
    <n v="15"/>
    <n v="3"/>
    <n v="0"/>
  </r>
  <r>
    <x v="9"/>
    <x v="10"/>
    <n v="137"/>
    <n v="137"/>
    <n v="125"/>
    <n v="12"/>
    <n v="0"/>
  </r>
  <r>
    <x v="9"/>
    <x v="10"/>
    <n v="134"/>
    <n v="132"/>
    <n v="113"/>
    <n v="19"/>
    <n v="1"/>
  </r>
  <r>
    <x v="9"/>
    <x v="11"/>
    <n v="66"/>
    <n v="65"/>
    <n v="61"/>
    <n v="4"/>
    <n v="0"/>
  </r>
  <r>
    <x v="9"/>
    <x v="11"/>
    <n v="37"/>
    <n v="36"/>
    <n v="35"/>
    <n v="1"/>
    <n v="1"/>
  </r>
  <r>
    <x v="10"/>
    <x v="0"/>
    <n v="4"/>
    <n v="4"/>
    <n v="3"/>
    <n v="1"/>
    <n v="0"/>
  </r>
  <r>
    <x v="10"/>
    <x v="12"/>
    <n v="2"/>
    <n v="0"/>
    <n v="0"/>
    <n v="0"/>
    <n v="0"/>
  </r>
  <r>
    <x v="10"/>
    <x v="2"/>
    <n v="34"/>
    <n v="33"/>
    <n v="11"/>
    <n v="22"/>
    <n v="0"/>
  </r>
  <r>
    <x v="10"/>
    <x v="2"/>
    <n v="39"/>
    <n v="39"/>
    <n v="28"/>
    <n v="11"/>
    <n v="0"/>
  </r>
  <r>
    <x v="10"/>
    <x v="3"/>
    <n v="27"/>
    <n v="27"/>
    <n v="10"/>
    <n v="17"/>
    <n v="0"/>
  </r>
  <r>
    <x v="10"/>
    <x v="3"/>
    <n v="55"/>
    <n v="55"/>
    <n v="20"/>
    <n v="35"/>
    <n v="0"/>
  </r>
  <r>
    <x v="10"/>
    <x v="4"/>
    <n v="15"/>
    <n v="15"/>
    <n v="0"/>
    <n v="15"/>
    <n v="0"/>
  </r>
  <r>
    <x v="10"/>
    <x v="4"/>
    <n v="5"/>
    <n v="5"/>
    <n v="0"/>
    <n v="5"/>
    <n v="0"/>
  </r>
  <r>
    <x v="10"/>
    <x v="5"/>
    <n v="51"/>
    <n v="50"/>
    <n v="12"/>
    <n v="38"/>
    <n v="0"/>
  </r>
  <r>
    <x v="10"/>
    <x v="5"/>
    <n v="35"/>
    <n v="33"/>
    <n v="28"/>
    <n v="5"/>
    <n v="0"/>
  </r>
  <r>
    <x v="10"/>
    <x v="6"/>
    <n v="57"/>
    <n v="56"/>
    <n v="56"/>
    <n v="0"/>
    <n v="0"/>
  </r>
  <r>
    <x v="10"/>
    <x v="6"/>
    <n v="47"/>
    <n v="47"/>
    <n v="47"/>
    <n v="0"/>
    <n v="0"/>
  </r>
  <r>
    <x v="10"/>
    <x v="7"/>
    <n v="18"/>
    <n v="15"/>
    <n v="8"/>
    <n v="7"/>
    <n v="0"/>
  </r>
  <r>
    <x v="10"/>
    <x v="7"/>
    <n v="2"/>
    <n v="2"/>
    <n v="0"/>
    <n v="2"/>
    <n v="0"/>
  </r>
  <r>
    <x v="10"/>
    <x v="8"/>
    <n v="10"/>
    <n v="10"/>
    <n v="6"/>
    <n v="4"/>
    <n v="0"/>
  </r>
  <r>
    <x v="10"/>
    <x v="8"/>
    <n v="3"/>
    <n v="3"/>
    <n v="2"/>
    <n v="1"/>
    <n v="0"/>
  </r>
  <r>
    <x v="10"/>
    <x v="9"/>
    <n v="10"/>
    <n v="10"/>
    <n v="10"/>
    <n v="0"/>
    <n v="0"/>
  </r>
  <r>
    <x v="10"/>
    <x v="10"/>
    <n v="26"/>
    <n v="26"/>
    <n v="19"/>
    <n v="7"/>
    <n v="0"/>
  </r>
  <r>
    <x v="10"/>
    <x v="10"/>
    <n v="21"/>
    <n v="21"/>
    <n v="14"/>
    <n v="7"/>
    <n v="0"/>
  </r>
  <r>
    <x v="10"/>
    <x v="11"/>
    <n v="50"/>
    <n v="50"/>
    <n v="22"/>
    <n v="28"/>
    <n v="0"/>
  </r>
  <r>
    <x v="10"/>
    <x v="11"/>
    <n v="24"/>
    <n v="21"/>
    <n v="8"/>
    <n v="13"/>
    <n v="0"/>
  </r>
  <r>
    <x v="11"/>
    <x v="0"/>
    <n v="8"/>
    <n v="5"/>
    <n v="2"/>
    <n v="3"/>
    <n v="0"/>
  </r>
  <r>
    <x v="11"/>
    <x v="0"/>
    <n v="4"/>
    <n v="3"/>
    <n v="3"/>
    <n v="0"/>
    <n v="0"/>
  </r>
  <r>
    <x v="11"/>
    <x v="12"/>
    <n v="2"/>
    <n v="0"/>
    <n v="0"/>
    <n v="0"/>
    <n v="0"/>
  </r>
  <r>
    <x v="11"/>
    <x v="2"/>
    <n v="23"/>
    <n v="23"/>
    <n v="15"/>
    <n v="8"/>
    <n v="0"/>
  </r>
  <r>
    <x v="11"/>
    <x v="2"/>
    <n v="22"/>
    <n v="22"/>
    <n v="21"/>
    <n v="1"/>
    <n v="0"/>
  </r>
  <r>
    <x v="11"/>
    <x v="3"/>
    <n v="12"/>
    <n v="12"/>
    <n v="5"/>
    <n v="7"/>
    <n v="0"/>
  </r>
  <r>
    <x v="11"/>
    <x v="3"/>
    <n v="15"/>
    <n v="15"/>
    <n v="11"/>
    <n v="4"/>
    <n v="0"/>
  </r>
  <r>
    <x v="11"/>
    <x v="4"/>
    <n v="4"/>
    <n v="4"/>
    <n v="0"/>
    <n v="4"/>
    <n v="0"/>
  </r>
  <r>
    <x v="11"/>
    <x v="4"/>
    <n v="6"/>
    <n v="6"/>
    <n v="0"/>
    <n v="6"/>
    <n v="0"/>
  </r>
  <r>
    <x v="11"/>
    <x v="13"/>
    <n v="1"/>
    <n v="1"/>
    <n v="0"/>
    <n v="1"/>
    <n v="0"/>
  </r>
  <r>
    <x v="11"/>
    <x v="5"/>
    <n v="47"/>
    <n v="46"/>
    <n v="34"/>
    <n v="12"/>
    <n v="0"/>
  </r>
  <r>
    <x v="11"/>
    <x v="5"/>
    <n v="21"/>
    <n v="20"/>
    <n v="17"/>
    <n v="3"/>
    <n v="0"/>
  </r>
  <r>
    <x v="11"/>
    <x v="6"/>
    <n v="9"/>
    <n v="9"/>
    <n v="9"/>
    <n v="0"/>
    <n v="0"/>
  </r>
  <r>
    <x v="11"/>
    <x v="6"/>
    <n v="18"/>
    <n v="18"/>
    <n v="18"/>
    <n v="0"/>
    <n v="0"/>
  </r>
  <r>
    <x v="11"/>
    <x v="7"/>
    <n v="7"/>
    <n v="3"/>
    <n v="2"/>
    <n v="1"/>
    <n v="0"/>
  </r>
  <r>
    <x v="11"/>
    <x v="7"/>
    <n v="3"/>
    <n v="3"/>
    <n v="1"/>
    <n v="2"/>
    <n v="0"/>
  </r>
  <r>
    <x v="11"/>
    <x v="8"/>
    <n v="4"/>
    <n v="4"/>
    <n v="3"/>
    <n v="1"/>
    <n v="0"/>
  </r>
  <r>
    <x v="11"/>
    <x v="8"/>
    <n v="5"/>
    <n v="5"/>
    <n v="3"/>
    <n v="2"/>
    <n v="0"/>
  </r>
  <r>
    <x v="11"/>
    <x v="9"/>
    <n v="5"/>
    <n v="4"/>
    <n v="3"/>
    <n v="1"/>
    <n v="0"/>
  </r>
  <r>
    <x v="11"/>
    <x v="9"/>
    <n v="4"/>
    <n v="4"/>
    <n v="3"/>
    <n v="1"/>
    <n v="0"/>
  </r>
  <r>
    <x v="11"/>
    <x v="10"/>
    <n v="9"/>
    <n v="9"/>
    <n v="6"/>
    <n v="3"/>
    <n v="0"/>
  </r>
  <r>
    <x v="11"/>
    <x v="10"/>
    <n v="11"/>
    <n v="11"/>
    <n v="11"/>
    <n v="0"/>
    <n v="0"/>
  </r>
  <r>
    <x v="11"/>
    <x v="11"/>
    <n v="17"/>
    <n v="9"/>
    <n v="9"/>
    <n v="0"/>
    <n v="0"/>
  </r>
  <r>
    <x v="11"/>
    <x v="11"/>
    <n v="17"/>
    <n v="4"/>
    <n v="4"/>
    <n v="0"/>
    <n v="0"/>
  </r>
  <r>
    <x v="12"/>
    <x v="0"/>
    <n v="3"/>
    <n v="3"/>
    <n v="3"/>
    <n v="0"/>
    <n v="0"/>
  </r>
  <r>
    <x v="12"/>
    <x v="12"/>
    <n v="1"/>
    <n v="0"/>
    <n v="0"/>
    <n v="0"/>
    <n v="0"/>
  </r>
  <r>
    <x v="12"/>
    <x v="2"/>
    <n v="24"/>
    <n v="24"/>
    <n v="15"/>
    <n v="9"/>
    <n v="0"/>
  </r>
  <r>
    <x v="12"/>
    <x v="2"/>
    <n v="28"/>
    <n v="26"/>
    <n v="12"/>
    <n v="14"/>
    <n v="0"/>
  </r>
  <r>
    <x v="12"/>
    <x v="3"/>
    <n v="36"/>
    <n v="35"/>
    <n v="17"/>
    <n v="18"/>
    <n v="0"/>
  </r>
  <r>
    <x v="12"/>
    <x v="3"/>
    <n v="34"/>
    <n v="31"/>
    <n v="20"/>
    <n v="11"/>
    <n v="1"/>
  </r>
  <r>
    <x v="12"/>
    <x v="4"/>
    <n v="14"/>
    <n v="14"/>
    <n v="0"/>
    <n v="14"/>
    <n v="0"/>
  </r>
  <r>
    <x v="12"/>
    <x v="4"/>
    <n v="4"/>
    <n v="4"/>
    <n v="0"/>
    <n v="4"/>
    <n v="0"/>
  </r>
  <r>
    <x v="12"/>
    <x v="5"/>
    <n v="161"/>
    <n v="160"/>
    <n v="79"/>
    <n v="81"/>
    <n v="0"/>
  </r>
  <r>
    <x v="12"/>
    <x v="5"/>
    <n v="116"/>
    <n v="110"/>
    <n v="86"/>
    <n v="24"/>
    <n v="0"/>
  </r>
  <r>
    <x v="12"/>
    <x v="6"/>
    <n v="87"/>
    <n v="85"/>
    <n v="84"/>
    <n v="1"/>
    <n v="0"/>
  </r>
  <r>
    <x v="12"/>
    <x v="6"/>
    <n v="45"/>
    <n v="42"/>
    <n v="41"/>
    <n v="1"/>
    <n v="0"/>
  </r>
  <r>
    <x v="12"/>
    <x v="7"/>
    <n v="45"/>
    <n v="37"/>
    <n v="18"/>
    <n v="19"/>
    <n v="0"/>
  </r>
  <r>
    <x v="12"/>
    <x v="7"/>
    <n v="8"/>
    <n v="8"/>
    <n v="2"/>
    <n v="6"/>
    <n v="0"/>
  </r>
  <r>
    <x v="12"/>
    <x v="8"/>
    <n v="16"/>
    <n v="16"/>
    <n v="11"/>
    <n v="5"/>
    <n v="0"/>
  </r>
  <r>
    <x v="12"/>
    <x v="8"/>
    <n v="17"/>
    <n v="17"/>
    <n v="8"/>
    <n v="9"/>
    <n v="0"/>
  </r>
  <r>
    <x v="12"/>
    <x v="9"/>
    <n v="13"/>
    <n v="13"/>
    <n v="10"/>
    <n v="3"/>
    <n v="0"/>
  </r>
  <r>
    <x v="12"/>
    <x v="9"/>
    <n v="13"/>
    <n v="13"/>
    <n v="11"/>
    <n v="2"/>
    <n v="0"/>
  </r>
  <r>
    <x v="12"/>
    <x v="10"/>
    <n v="87"/>
    <n v="87"/>
    <n v="50"/>
    <n v="37"/>
    <n v="0"/>
  </r>
  <r>
    <x v="12"/>
    <x v="10"/>
    <n v="55"/>
    <n v="54"/>
    <n v="25"/>
    <n v="29"/>
    <n v="0"/>
  </r>
  <r>
    <x v="12"/>
    <x v="11"/>
    <n v="10"/>
    <n v="9"/>
    <n v="8"/>
    <n v="1"/>
    <n v="0"/>
  </r>
  <r>
    <x v="12"/>
    <x v="11"/>
    <n v="5"/>
    <n v="5"/>
    <n v="4"/>
    <n v="1"/>
    <n v="0"/>
  </r>
  <r>
    <x v="13"/>
    <x v="0"/>
    <n v="3"/>
    <n v="2"/>
    <n v="2"/>
    <n v="0"/>
    <n v="0"/>
  </r>
  <r>
    <x v="13"/>
    <x v="12"/>
    <n v="1"/>
    <n v="0"/>
    <n v="0"/>
    <n v="0"/>
    <n v="0"/>
  </r>
  <r>
    <x v="13"/>
    <x v="2"/>
    <n v="45"/>
    <n v="45"/>
    <n v="44"/>
    <n v="1"/>
    <n v="0"/>
  </r>
  <r>
    <x v="13"/>
    <x v="2"/>
    <n v="13"/>
    <n v="12"/>
    <n v="12"/>
    <n v="0"/>
    <n v="0"/>
  </r>
  <r>
    <x v="13"/>
    <x v="3"/>
    <n v="72"/>
    <n v="72"/>
    <n v="68"/>
    <n v="4"/>
    <n v="0"/>
  </r>
  <r>
    <x v="13"/>
    <x v="3"/>
    <n v="39"/>
    <n v="38"/>
    <n v="38"/>
    <n v="0"/>
    <n v="0"/>
  </r>
  <r>
    <x v="13"/>
    <x v="4"/>
    <n v="80"/>
    <n v="72"/>
    <n v="68"/>
    <n v="4"/>
    <n v="0"/>
  </r>
  <r>
    <x v="13"/>
    <x v="4"/>
    <n v="53"/>
    <n v="49"/>
    <n v="47"/>
    <n v="2"/>
    <n v="0"/>
  </r>
  <r>
    <x v="13"/>
    <x v="5"/>
    <n v="51"/>
    <n v="51"/>
    <n v="51"/>
    <n v="0"/>
    <n v="0"/>
  </r>
  <r>
    <x v="13"/>
    <x v="5"/>
    <n v="8"/>
    <n v="8"/>
    <n v="7"/>
    <n v="1"/>
    <n v="0"/>
  </r>
  <r>
    <x v="13"/>
    <x v="6"/>
    <n v="87"/>
    <n v="86"/>
    <n v="85"/>
    <n v="1"/>
    <n v="0"/>
  </r>
  <r>
    <x v="13"/>
    <x v="6"/>
    <n v="40"/>
    <n v="40"/>
    <n v="39"/>
    <n v="1"/>
    <n v="0"/>
  </r>
  <r>
    <x v="13"/>
    <x v="7"/>
    <n v="36"/>
    <n v="33"/>
    <n v="28"/>
    <n v="5"/>
    <n v="0"/>
  </r>
  <r>
    <x v="13"/>
    <x v="7"/>
    <n v="14"/>
    <n v="13"/>
    <n v="12"/>
    <n v="1"/>
    <n v="0"/>
  </r>
  <r>
    <x v="13"/>
    <x v="8"/>
    <n v="20"/>
    <n v="20"/>
    <n v="18"/>
    <n v="2"/>
    <n v="0"/>
  </r>
  <r>
    <x v="13"/>
    <x v="8"/>
    <n v="4"/>
    <n v="3"/>
    <n v="3"/>
    <n v="0"/>
    <n v="0"/>
  </r>
  <r>
    <x v="13"/>
    <x v="9"/>
    <n v="12"/>
    <n v="11"/>
    <n v="10"/>
    <n v="1"/>
    <n v="0"/>
  </r>
  <r>
    <x v="13"/>
    <x v="9"/>
    <n v="1"/>
    <n v="1"/>
    <n v="1"/>
    <n v="0"/>
    <n v="0"/>
  </r>
  <r>
    <x v="13"/>
    <x v="10"/>
    <n v="59"/>
    <n v="59"/>
    <n v="57"/>
    <n v="2"/>
    <n v="0"/>
  </r>
  <r>
    <x v="13"/>
    <x v="10"/>
    <n v="32"/>
    <n v="32"/>
    <n v="31"/>
    <n v="1"/>
    <n v="0"/>
  </r>
  <r>
    <x v="13"/>
    <x v="11"/>
    <n v="41"/>
    <n v="41"/>
    <n v="40"/>
    <n v="1"/>
    <n v="0"/>
  </r>
  <r>
    <x v="13"/>
    <x v="11"/>
    <n v="12"/>
    <n v="10"/>
    <n v="10"/>
    <n v="0"/>
    <n v="0"/>
  </r>
  <r>
    <x v="14"/>
    <x v="14"/>
    <n v="1"/>
    <n v="1"/>
    <n v="0"/>
    <n v="1"/>
    <n v="0"/>
  </r>
  <r>
    <x v="14"/>
    <x v="14"/>
    <n v="1"/>
    <n v="1"/>
    <n v="0"/>
    <n v="1"/>
    <n v="0"/>
  </r>
  <r>
    <x v="14"/>
    <x v="0"/>
    <n v="3"/>
    <n v="3"/>
    <n v="3"/>
    <n v="0"/>
    <n v="0"/>
  </r>
  <r>
    <x v="14"/>
    <x v="0"/>
    <n v="1"/>
    <n v="1"/>
    <n v="1"/>
    <n v="0"/>
    <n v="0"/>
  </r>
  <r>
    <x v="14"/>
    <x v="12"/>
    <n v="7"/>
    <n v="0"/>
    <n v="0"/>
    <n v="0"/>
    <n v="0"/>
  </r>
  <r>
    <x v="14"/>
    <x v="12"/>
    <n v="1"/>
    <n v="0"/>
    <n v="0"/>
    <n v="0"/>
    <n v="0"/>
  </r>
  <r>
    <x v="14"/>
    <x v="2"/>
    <n v="34"/>
    <n v="31"/>
    <n v="17"/>
    <n v="14"/>
    <n v="0"/>
  </r>
  <r>
    <x v="14"/>
    <x v="2"/>
    <n v="34"/>
    <n v="34"/>
    <n v="17"/>
    <n v="17"/>
    <n v="0"/>
  </r>
  <r>
    <x v="14"/>
    <x v="3"/>
    <n v="25"/>
    <n v="25"/>
    <n v="4"/>
    <n v="21"/>
    <n v="0"/>
  </r>
  <r>
    <x v="14"/>
    <x v="3"/>
    <n v="29"/>
    <n v="29"/>
    <n v="17"/>
    <n v="12"/>
    <n v="0"/>
  </r>
  <r>
    <x v="14"/>
    <x v="4"/>
    <n v="11"/>
    <n v="11"/>
    <n v="0"/>
    <n v="11"/>
    <n v="0"/>
  </r>
  <r>
    <x v="14"/>
    <x v="4"/>
    <n v="8"/>
    <n v="8"/>
    <n v="0"/>
    <n v="8"/>
    <n v="0"/>
  </r>
  <r>
    <x v="14"/>
    <x v="5"/>
    <n v="269"/>
    <n v="265"/>
    <n v="107"/>
    <n v="158"/>
    <n v="0"/>
  </r>
  <r>
    <x v="14"/>
    <x v="5"/>
    <n v="170"/>
    <n v="161"/>
    <n v="59"/>
    <n v="102"/>
    <n v="0"/>
  </r>
  <r>
    <x v="14"/>
    <x v="6"/>
    <n v="75"/>
    <n v="75"/>
    <n v="72"/>
    <n v="3"/>
    <n v="0"/>
  </r>
  <r>
    <x v="14"/>
    <x v="6"/>
    <n v="49"/>
    <n v="49"/>
    <n v="45"/>
    <n v="4"/>
    <n v="0"/>
  </r>
  <r>
    <x v="14"/>
    <x v="7"/>
    <n v="14"/>
    <n v="10"/>
    <n v="7"/>
    <n v="3"/>
    <n v="1"/>
  </r>
  <r>
    <x v="14"/>
    <x v="7"/>
    <n v="2"/>
    <n v="2"/>
    <n v="1"/>
    <n v="1"/>
    <n v="0"/>
  </r>
  <r>
    <x v="14"/>
    <x v="8"/>
    <n v="1"/>
    <n v="1"/>
    <n v="0"/>
    <n v="1"/>
    <n v="0"/>
  </r>
  <r>
    <x v="14"/>
    <x v="9"/>
    <n v="2"/>
    <n v="1"/>
    <n v="1"/>
    <n v="0"/>
    <n v="0"/>
  </r>
  <r>
    <x v="14"/>
    <x v="10"/>
    <n v="129"/>
    <n v="129"/>
    <n v="104"/>
    <n v="25"/>
    <n v="0"/>
  </r>
  <r>
    <x v="14"/>
    <x v="10"/>
    <n v="64"/>
    <n v="64"/>
    <n v="47"/>
    <n v="17"/>
    <n v="0"/>
  </r>
  <r>
    <x v="14"/>
    <x v="11"/>
    <n v="23"/>
    <n v="23"/>
    <n v="5"/>
    <n v="18"/>
    <n v="0"/>
  </r>
  <r>
    <x v="14"/>
    <x v="11"/>
    <n v="13"/>
    <n v="13"/>
    <n v="11"/>
    <n v="2"/>
    <n v="0"/>
  </r>
  <r>
    <x v="15"/>
    <x v="0"/>
    <n v="5"/>
    <n v="4"/>
    <n v="4"/>
    <n v="0"/>
    <n v="0"/>
  </r>
  <r>
    <x v="15"/>
    <x v="0"/>
    <n v="3"/>
    <n v="2"/>
    <n v="2"/>
    <n v="0"/>
    <n v="0"/>
  </r>
  <r>
    <x v="15"/>
    <x v="12"/>
    <n v="1"/>
    <n v="0"/>
    <n v="0"/>
    <n v="0"/>
    <n v="0"/>
  </r>
  <r>
    <x v="15"/>
    <x v="2"/>
    <n v="47"/>
    <n v="46"/>
    <n v="42"/>
    <n v="4"/>
    <n v="0"/>
  </r>
  <r>
    <x v="15"/>
    <x v="2"/>
    <n v="24"/>
    <n v="24"/>
    <n v="19"/>
    <n v="5"/>
    <n v="0"/>
  </r>
  <r>
    <x v="15"/>
    <x v="3"/>
    <n v="54"/>
    <n v="50"/>
    <n v="40"/>
    <n v="10"/>
    <n v="0"/>
  </r>
  <r>
    <x v="15"/>
    <x v="3"/>
    <n v="24"/>
    <n v="21"/>
    <n v="12"/>
    <n v="9"/>
    <n v="1"/>
  </r>
  <r>
    <x v="15"/>
    <x v="4"/>
    <n v="88"/>
    <n v="81"/>
    <n v="65"/>
    <n v="16"/>
    <n v="0"/>
  </r>
  <r>
    <x v="15"/>
    <x v="4"/>
    <n v="42"/>
    <n v="41"/>
    <n v="32"/>
    <n v="9"/>
    <n v="0"/>
  </r>
  <r>
    <x v="15"/>
    <x v="5"/>
    <n v="180"/>
    <n v="174"/>
    <n v="162"/>
    <n v="12"/>
    <n v="0"/>
  </r>
  <r>
    <x v="15"/>
    <x v="5"/>
    <n v="88"/>
    <n v="84"/>
    <n v="66"/>
    <n v="18"/>
    <n v="3"/>
  </r>
  <r>
    <x v="15"/>
    <x v="6"/>
    <n v="70"/>
    <n v="69"/>
    <n v="67"/>
    <n v="2"/>
    <n v="0"/>
  </r>
  <r>
    <x v="15"/>
    <x v="6"/>
    <n v="23"/>
    <n v="23"/>
    <n v="22"/>
    <n v="1"/>
    <n v="0"/>
  </r>
  <r>
    <x v="15"/>
    <x v="7"/>
    <n v="27"/>
    <n v="20"/>
    <n v="18"/>
    <n v="2"/>
    <n v="2"/>
  </r>
  <r>
    <x v="15"/>
    <x v="7"/>
    <n v="6"/>
    <n v="5"/>
    <n v="5"/>
    <n v="0"/>
    <n v="0"/>
  </r>
  <r>
    <x v="15"/>
    <x v="8"/>
    <n v="31"/>
    <n v="30"/>
    <n v="23"/>
    <n v="7"/>
    <n v="0"/>
  </r>
  <r>
    <x v="15"/>
    <x v="8"/>
    <n v="11"/>
    <n v="11"/>
    <n v="6"/>
    <n v="5"/>
    <n v="0"/>
  </r>
  <r>
    <x v="15"/>
    <x v="9"/>
    <n v="9"/>
    <n v="9"/>
    <n v="9"/>
    <n v="0"/>
    <n v="0"/>
  </r>
  <r>
    <x v="15"/>
    <x v="9"/>
    <n v="1"/>
    <n v="1"/>
    <n v="1"/>
    <n v="0"/>
    <n v="0"/>
  </r>
  <r>
    <x v="15"/>
    <x v="10"/>
    <n v="56"/>
    <n v="56"/>
    <n v="49"/>
    <n v="7"/>
    <n v="0"/>
  </r>
  <r>
    <x v="15"/>
    <x v="10"/>
    <n v="21"/>
    <n v="21"/>
    <n v="19"/>
    <n v="2"/>
    <n v="0"/>
  </r>
  <r>
    <x v="15"/>
    <x v="11"/>
    <n v="42"/>
    <n v="41"/>
    <n v="39"/>
    <n v="2"/>
    <n v="0"/>
  </r>
  <r>
    <x v="15"/>
    <x v="11"/>
    <n v="9"/>
    <n v="9"/>
    <n v="5"/>
    <n v="4"/>
    <n v="0"/>
  </r>
  <r>
    <x v="16"/>
    <x v="0"/>
    <n v="2"/>
    <n v="2"/>
    <n v="2"/>
    <n v="0"/>
    <n v="0"/>
  </r>
  <r>
    <x v="16"/>
    <x v="12"/>
    <n v="1"/>
    <n v="0"/>
    <n v="0"/>
    <n v="0"/>
    <n v="0"/>
  </r>
  <r>
    <x v="16"/>
    <x v="2"/>
    <n v="77"/>
    <n v="69"/>
    <n v="19"/>
    <n v="50"/>
    <n v="0"/>
  </r>
  <r>
    <x v="16"/>
    <x v="2"/>
    <n v="68"/>
    <n v="58"/>
    <n v="38"/>
    <n v="20"/>
    <n v="0"/>
  </r>
  <r>
    <x v="16"/>
    <x v="3"/>
    <n v="59"/>
    <n v="55"/>
    <n v="30"/>
    <n v="25"/>
    <n v="0"/>
  </r>
  <r>
    <x v="16"/>
    <x v="3"/>
    <n v="32"/>
    <n v="25"/>
    <n v="20"/>
    <n v="5"/>
    <n v="1"/>
  </r>
  <r>
    <x v="16"/>
    <x v="4"/>
    <n v="14"/>
    <n v="14"/>
    <n v="0"/>
    <n v="14"/>
    <n v="0"/>
  </r>
  <r>
    <x v="16"/>
    <x v="4"/>
    <n v="8"/>
    <n v="7"/>
    <n v="0"/>
    <n v="7"/>
    <n v="1"/>
  </r>
  <r>
    <x v="16"/>
    <x v="13"/>
    <n v="1"/>
    <n v="1"/>
    <n v="0"/>
    <n v="1"/>
    <n v="0"/>
  </r>
  <r>
    <x v="16"/>
    <x v="5"/>
    <n v="43"/>
    <n v="37"/>
    <n v="15"/>
    <n v="22"/>
    <n v="0"/>
  </r>
  <r>
    <x v="16"/>
    <x v="5"/>
    <n v="18"/>
    <n v="16"/>
    <n v="8"/>
    <n v="8"/>
    <n v="0"/>
  </r>
  <r>
    <x v="16"/>
    <x v="6"/>
    <n v="98"/>
    <n v="97"/>
    <n v="92"/>
    <n v="5"/>
    <n v="0"/>
  </r>
  <r>
    <x v="16"/>
    <x v="6"/>
    <n v="52"/>
    <n v="50"/>
    <n v="49"/>
    <n v="1"/>
    <n v="0"/>
  </r>
  <r>
    <x v="16"/>
    <x v="7"/>
    <n v="27"/>
    <n v="19"/>
    <n v="17"/>
    <n v="2"/>
    <n v="0"/>
  </r>
  <r>
    <x v="16"/>
    <x v="7"/>
    <n v="3"/>
    <n v="3"/>
    <n v="2"/>
    <n v="1"/>
    <n v="0"/>
  </r>
  <r>
    <x v="16"/>
    <x v="8"/>
    <n v="34"/>
    <n v="30"/>
    <n v="25"/>
    <n v="5"/>
    <n v="0"/>
  </r>
  <r>
    <x v="16"/>
    <x v="8"/>
    <n v="10"/>
    <n v="7"/>
    <n v="1"/>
    <n v="6"/>
    <n v="0"/>
  </r>
  <r>
    <x v="16"/>
    <x v="9"/>
    <n v="18"/>
    <n v="8"/>
    <n v="8"/>
    <n v="0"/>
    <n v="0"/>
  </r>
  <r>
    <x v="16"/>
    <x v="9"/>
    <n v="1"/>
    <n v="1"/>
    <n v="1"/>
    <n v="0"/>
    <n v="0"/>
  </r>
  <r>
    <x v="16"/>
    <x v="10"/>
    <n v="52"/>
    <n v="52"/>
    <n v="41"/>
    <n v="11"/>
    <n v="0"/>
  </r>
  <r>
    <x v="16"/>
    <x v="10"/>
    <n v="15"/>
    <n v="15"/>
    <n v="11"/>
    <n v="4"/>
    <n v="0"/>
  </r>
  <r>
    <x v="16"/>
    <x v="11"/>
    <n v="36"/>
    <n v="36"/>
    <n v="13"/>
    <n v="23"/>
    <n v="0"/>
  </r>
  <r>
    <x v="16"/>
    <x v="11"/>
    <n v="16"/>
    <n v="16"/>
    <n v="14"/>
    <n v="2"/>
    <n v="0"/>
  </r>
  <r>
    <x v="17"/>
    <x v="0"/>
    <n v="6"/>
    <n v="6"/>
    <n v="6"/>
    <n v="0"/>
    <n v="0"/>
  </r>
  <r>
    <x v="17"/>
    <x v="0"/>
    <n v="1"/>
    <n v="1"/>
    <n v="1"/>
    <n v="0"/>
    <n v="0"/>
  </r>
  <r>
    <x v="17"/>
    <x v="2"/>
    <n v="16"/>
    <n v="16"/>
    <n v="16"/>
    <n v="0"/>
    <n v="0"/>
  </r>
  <r>
    <x v="17"/>
    <x v="2"/>
    <n v="19"/>
    <n v="19"/>
    <n v="19"/>
    <n v="0"/>
    <n v="0"/>
  </r>
  <r>
    <x v="17"/>
    <x v="3"/>
    <n v="15"/>
    <n v="15"/>
    <n v="14"/>
    <n v="1"/>
    <n v="0"/>
  </r>
  <r>
    <x v="17"/>
    <x v="3"/>
    <n v="8"/>
    <n v="8"/>
    <n v="8"/>
    <n v="0"/>
    <n v="0"/>
  </r>
  <r>
    <x v="17"/>
    <x v="4"/>
    <n v="30"/>
    <n v="30"/>
    <n v="29"/>
    <n v="1"/>
    <n v="0"/>
  </r>
  <r>
    <x v="17"/>
    <x v="4"/>
    <n v="26"/>
    <n v="23"/>
    <n v="22"/>
    <n v="1"/>
    <n v="1"/>
  </r>
  <r>
    <x v="17"/>
    <x v="5"/>
    <n v="50"/>
    <n v="50"/>
    <n v="49"/>
    <n v="1"/>
    <n v="0"/>
  </r>
  <r>
    <x v="17"/>
    <x v="5"/>
    <n v="53"/>
    <n v="51"/>
    <n v="47"/>
    <n v="4"/>
    <n v="0"/>
  </r>
  <r>
    <x v="17"/>
    <x v="6"/>
    <n v="7"/>
    <n v="7"/>
    <n v="7"/>
    <n v="0"/>
    <n v="0"/>
  </r>
  <r>
    <x v="17"/>
    <x v="6"/>
    <n v="4"/>
    <n v="4"/>
    <n v="4"/>
    <n v="0"/>
    <n v="0"/>
  </r>
  <r>
    <x v="17"/>
    <x v="7"/>
    <n v="4"/>
    <n v="4"/>
    <n v="4"/>
    <n v="0"/>
    <n v="0"/>
  </r>
  <r>
    <x v="17"/>
    <x v="7"/>
    <n v="1"/>
    <n v="1"/>
    <n v="1"/>
    <n v="0"/>
    <n v="0"/>
  </r>
  <r>
    <x v="17"/>
    <x v="8"/>
    <n v="11"/>
    <n v="10"/>
    <n v="10"/>
    <n v="0"/>
    <n v="0"/>
  </r>
  <r>
    <x v="17"/>
    <x v="8"/>
    <n v="4"/>
    <n v="4"/>
    <n v="4"/>
    <n v="0"/>
    <n v="0"/>
  </r>
  <r>
    <x v="17"/>
    <x v="9"/>
    <n v="6"/>
    <n v="6"/>
    <n v="6"/>
    <n v="0"/>
    <n v="0"/>
  </r>
  <r>
    <x v="17"/>
    <x v="9"/>
    <n v="4"/>
    <n v="4"/>
    <n v="4"/>
    <n v="0"/>
    <n v="0"/>
  </r>
  <r>
    <x v="17"/>
    <x v="10"/>
    <n v="38"/>
    <n v="38"/>
    <n v="38"/>
    <n v="0"/>
    <n v="0"/>
  </r>
  <r>
    <x v="17"/>
    <x v="10"/>
    <n v="45"/>
    <n v="45"/>
    <n v="42"/>
    <n v="3"/>
    <n v="0"/>
  </r>
  <r>
    <x v="17"/>
    <x v="11"/>
    <n v="21"/>
    <n v="21"/>
    <n v="18"/>
    <n v="3"/>
    <n v="0"/>
  </r>
  <r>
    <x v="17"/>
    <x v="11"/>
    <n v="10"/>
    <n v="9"/>
    <n v="9"/>
    <n v="0"/>
    <n v="0"/>
  </r>
  <r>
    <x v="18"/>
    <x v="0"/>
    <n v="2"/>
    <n v="2"/>
    <n v="2"/>
    <n v="0"/>
    <n v="0"/>
  </r>
  <r>
    <x v="18"/>
    <x v="12"/>
    <n v="1"/>
    <n v="0"/>
    <n v="0"/>
    <n v="0"/>
    <n v="0"/>
  </r>
  <r>
    <x v="18"/>
    <x v="2"/>
    <n v="7"/>
    <n v="6"/>
    <n v="6"/>
    <n v="0"/>
    <n v="1"/>
  </r>
  <r>
    <x v="18"/>
    <x v="2"/>
    <n v="6"/>
    <n v="6"/>
    <n v="6"/>
    <n v="0"/>
    <n v="0"/>
  </r>
  <r>
    <x v="18"/>
    <x v="3"/>
    <n v="24"/>
    <n v="24"/>
    <n v="22"/>
    <n v="2"/>
    <n v="0"/>
  </r>
  <r>
    <x v="18"/>
    <x v="3"/>
    <n v="18"/>
    <n v="17"/>
    <n v="15"/>
    <n v="2"/>
    <n v="0"/>
  </r>
  <r>
    <x v="18"/>
    <x v="4"/>
    <n v="43"/>
    <n v="36"/>
    <n v="34"/>
    <n v="2"/>
    <n v="1"/>
  </r>
  <r>
    <x v="18"/>
    <x v="4"/>
    <n v="43"/>
    <n v="42"/>
    <n v="32"/>
    <n v="10"/>
    <n v="0"/>
  </r>
  <r>
    <x v="18"/>
    <x v="5"/>
    <n v="38"/>
    <n v="38"/>
    <n v="32"/>
    <n v="6"/>
    <n v="0"/>
  </r>
  <r>
    <x v="18"/>
    <x v="5"/>
    <n v="34"/>
    <n v="33"/>
    <n v="27"/>
    <n v="6"/>
    <n v="0"/>
  </r>
  <r>
    <x v="18"/>
    <x v="6"/>
    <n v="7"/>
    <n v="7"/>
    <n v="7"/>
    <n v="0"/>
    <n v="0"/>
  </r>
  <r>
    <x v="18"/>
    <x v="6"/>
    <n v="7"/>
    <n v="3"/>
    <n v="3"/>
    <n v="0"/>
    <n v="0"/>
  </r>
  <r>
    <x v="18"/>
    <x v="8"/>
    <n v="13"/>
    <n v="13"/>
    <n v="12"/>
    <n v="1"/>
    <n v="0"/>
  </r>
  <r>
    <x v="18"/>
    <x v="8"/>
    <n v="8"/>
    <n v="5"/>
    <n v="4"/>
    <n v="1"/>
    <n v="0"/>
  </r>
  <r>
    <x v="18"/>
    <x v="9"/>
    <n v="9"/>
    <n v="9"/>
    <n v="9"/>
    <n v="0"/>
    <n v="0"/>
  </r>
  <r>
    <x v="18"/>
    <x v="9"/>
    <n v="5"/>
    <n v="2"/>
    <n v="2"/>
    <n v="0"/>
    <n v="0"/>
  </r>
  <r>
    <x v="18"/>
    <x v="10"/>
    <n v="39"/>
    <n v="39"/>
    <n v="37"/>
    <n v="2"/>
    <n v="0"/>
  </r>
  <r>
    <x v="18"/>
    <x v="10"/>
    <n v="22"/>
    <n v="22"/>
    <n v="21"/>
    <n v="1"/>
    <n v="0"/>
  </r>
  <r>
    <x v="18"/>
    <x v="11"/>
    <n v="5"/>
    <n v="5"/>
    <n v="4"/>
    <n v="1"/>
    <n v="0"/>
  </r>
  <r>
    <x v="18"/>
    <x v="11"/>
    <n v="2"/>
    <n v="2"/>
    <n v="2"/>
    <n v="0"/>
    <n v="0"/>
  </r>
  <r>
    <x v="19"/>
    <x v="0"/>
    <n v="4"/>
    <n v="4"/>
    <n v="4"/>
    <n v="0"/>
    <n v="0"/>
  </r>
  <r>
    <x v="19"/>
    <x v="0"/>
    <n v="6"/>
    <n v="6"/>
    <n v="4"/>
    <n v="2"/>
    <n v="0"/>
  </r>
  <r>
    <x v="19"/>
    <x v="15"/>
    <n v="1"/>
    <n v="0"/>
    <n v="0"/>
    <n v="0"/>
    <n v="0"/>
  </r>
  <r>
    <x v="19"/>
    <x v="12"/>
    <n v="1"/>
    <n v="0"/>
    <n v="0"/>
    <n v="0"/>
    <n v="0"/>
  </r>
  <r>
    <x v="19"/>
    <x v="2"/>
    <n v="38"/>
    <n v="38"/>
    <n v="34"/>
    <n v="4"/>
    <n v="0"/>
  </r>
  <r>
    <x v="19"/>
    <x v="2"/>
    <n v="34"/>
    <n v="34"/>
    <n v="31"/>
    <n v="3"/>
    <n v="0"/>
  </r>
  <r>
    <x v="19"/>
    <x v="3"/>
    <n v="53"/>
    <n v="53"/>
    <n v="43"/>
    <n v="10"/>
    <n v="0"/>
  </r>
  <r>
    <x v="19"/>
    <x v="3"/>
    <n v="36"/>
    <n v="36"/>
    <n v="34"/>
    <n v="2"/>
    <n v="0"/>
  </r>
  <r>
    <x v="19"/>
    <x v="4"/>
    <n v="74"/>
    <n v="71"/>
    <n v="62"/>
    <n v="9"/>
    <n v="0"/>
  </r>
  <r>
    <x v="19"/>
    <x v="4"/>
    <n v="41"/>
    <n v="40"/>
    <n v="36"/>
    <n v="4"/>
    <n v="0"/>
  </r>
  <r>
    <x v="19"/>
    <x v="13"/>
    <n v="1"/>
    <n v="1"/>
    <n v="1"/>
    <n v="0"/>
    <n v="0"/>
  </r>
  <r>
    <x v="19"/>
    <x v="5"/>
    <n v="94"/>
    <n v="92"/>
    <n v="80"/>
    <n v="12"/>
    <n v="0"/>
  </r>
  <r>
    <x v="19"/>
    <x v="5"/>
    <n v="89"/>
    <n v="87"/>
    <n v="84"/>
    <n v="3"/>
    <n v="0"/>
  </r>
  <r>
    <x v="19"/>
    <x v="6"/>
    <n v="21"/>
    <n v="21"/>
    <n v="21"/>
    <n v="0"/>
    <n v="0"/>
  </r>
  <r>
    <x v="19"/>
    <x v="6"/>
    <n v="22"/>
    <n v="22"/>
    <n v="22"/>
    <n v="0"/>
    <n v="0"/>
  </r>
  <r>
    <x v="19"/>
    <x v="7"/>
    <n v="2"/>
    <n v="1"/>
    <n v="1"/>
    <n v="0"/>
    <n v="0"/>
  </r>
  <r>
    <x v="19"/>
    <x v="7"/>
    <n v="1"/>
    <n v="0"/>
    <n v="0"/>
    <n v="0"/>
    <n v="0"/>
  </r>
  <r>
    <x v="19"/>
    <x v="8"/>
    <n v="4"/>
    <n v="4"/>
    <n v="3"/>
    <n v="1"/>
    <n v="0"/>
  </r>
  <r>
    <x v="19"/>
    <x v="9"/>
    <n v="2"/>
    <n v="2"/>
    <n v="2"/>
    <n v="0"/>
    <n v="0"/>
  </r>
  <r>
    <x v="19"/>
    <x v="10"/>
    <n v="79"/>
    <n v="79"/>
    <n v="75"/>
    <n v="4"/>
    <n v="0"/>
  </r>
  <r>
    <x v="19"/>
    <x v="10"/>
    <n v="64"/>
    <n v="63"/>
    <n v="60"/>
    <n v="3"/>
    <n v="0"/>
  </r>
  <r>
    <x v="19"/>
    <x v="11"/>
    <n v="36"/>
    <n v="35"/>
    <n v="30"/>
    <n v="5"/>
    <n v="0"/>
  </r>
  <r>
    <x v="20"/>
    <x v="0"/>
    <n v="3"/>
    <n v="2"/>
    <n v="2"/>
    <n v="0"/>
    <n v="0"/>
  </r>
  <r>
    <x v="20"/>
    <x v="0"/>
    <n v="3"/>
    <n v="3"/>
    <n v="3"/>
    <n v="0"/>
    <n v="0"/>
  </r>
  <r>
    <x v="20"/>
    <x v="12"/>
    <n v="3"/>
    <n v="0"/>
    <n v="0"/>
    <n v="0"/>
    <n v="0"/>
  </r>
  <r>
    <x v="20"/>
    <x v="2"/>
    <n v="16"/>
    <n v="16"/>
    <n v="14"/>
    <n v="2"/>
    <n v="0"/>
  </r>
  <r>
    <x v="20"/>
    <x v="2"/>
    <n v="16"/>
    <n v="15"/>
    <n v="14"/>
    <n v="1"/>
    <n v="1"/>
  </r>
  <r>
    <x v="20"/>
    <x v="3"/>
    <n v="10"/>
    <n v="10"/>
    <n v="9"/>
    <n v="1"/>
    <n v="0"/>
  </r>
  <r>
    <x v="20"/>
    <x v="3"/>
    <n v="12"/>
    <n v="12"/>
    <n v="11"/>
    <n v="1"/>
    <n v="0"/>
  </r>
  <r>
    <x v="20"/>
    <x v="4"/>
    <n v="31"/>
    <n v="30"/>
    <n v="30"/>
    <n v="0"/>
    <n v="0"/>
  </r>
  <r>
    <x v="20"/>
    <x v="4"/>
    <n v="16"/>
    <n v="13"/>
    <n v="12"/>
    <n v="1"/>
    <n v="2"/>
  </r>
  <r>
    <x v="20"/>
    <x v="13"/>
    <n v="1"/>
    <n v="1"/>
    <n v="0"/>
    <n v="1"/>
    <n v="0"/>
  </r>
  <r>
    <x v="20"/>
    <x v="5"/>
    <n v="39"/>
    <n v="38"/>
    <n v="25"/>
    <n v="13"/>
    <n v="0"/>
  </r>
  <r>
    <x v="20"/>
    <x v="5"/>
    <n v="19"/>
    <n v="16"/>
    <n v="11"/>
    <n v="5"/>
    <n v="0"/>
  </r>
  <r>
    <x v="20"/>
    <x v="6"/>
    <n v="10"/>
    <n v="10"/>
    <n v="10"/>
    <n v="0"/>
    <n v="0"/>
  </r>
  <r>
    <x v="20"/>
    <x v="6"/>
    <n v="6"/>
    <n v="6"/>
    <n v="6"/>
    <n v="0"/>
    <n v="0"/>
  </r>
  <r>
    <x v="20"/>
    <x v="7"/>
    <n v="1"/>
    <n v="1"/>
    <n v="0"/>
    <n v="1"/>
    <n v="0"/>
  </r>
  <r>
    <x v="20"/>
    <x v="7"/>
    <n v="7"/>
    <n v="5"/>
    <n v="4"/>
    <n v="1"/>
    <n v="0"/>
  </r>
  <r>
    <x v="20"/>
    <x v="8"/>
    <n v="3"/>
    <n v="3"/>
    <n v="2"/>
    <n v="1"/>
    <n v="0"/>
  </r>
  <r>
    <x v="20"/>
    <x v="8"/>
    <n v="3"/>
    <n v="3"/>
    <n v="2"/>
    <n v="1"/>
    <n v="0"/>
  </r>
  <r>
    <x v="20"/>
    <x v="9"/>
    <n v="1"/>
    <n v="1"/>
    <n v="1"/>
    <n v="0"/>
    <n v="0"/>
  </r>
  <r>
    <x v="20"/>
    <x v="9"/>
    <n v="1"/>
    <n v="1"/>
    <n v="1"/>
    <n v="0"/>
    <n v="0"/>
  </r>
  <r>
    <x v="20"/>
    <x v="10"/>
    <n v="21"/>
    <n v="21"/>
    <n v="18"/>
    <n v="3"/>
    <n v="0"/>
  </r>
  <r>
    <x v="20"/>
    <x v="10"/>
    <n v="16"/>
    <n v="16"/>
    <n v="13"/>
    <n v="3"/>
    <n v="0"/>
  </r>
  <r>
    <x v="20"/>
    <x v="11"/>
    <n v="15"/>
    <n v="14"/>
    <n v="13"/>
    <n v="1"/>
    <n v="0"/>
  </r>
  <r>
    <x v="20"/>
    <x v="11"/>
    <n v="11"/>
    <n v="11"/>
    <n v="11"/>
    <n v="0"/>
    <n v="0"/>
  </r>
  <r>
    <x v="21"/>
    <x v="0"/>
    <n v="2"/>
    <n v="2"/>
    <n v="2"/>
    <n v="0"/>
    <n v="0"/>
  </r>
  <r>
    <x v="21"/>
    <x v="0"/>
    <n v="3"/>
    <n v="3"/>
    <n v="3"/>
    <n v="0"/>
    <n v="0"/>
  </r>
  <r>
    <x v="21"/>
    <x v="12"/>
    <n v="2"/>
    <n v="0"/>
    <n v="0"/>
    <n v="0"/>
    <n v="0"/>
  </r>
  <r>
    <x v="21"/>
    <x v="2"/>
    <n v="111"/>
    <n v="110"/>
    <n v="105"/>
    <n v="5"/>
    <n v="0"/>
  </r>
  <r>
    <x v="21"/>
    <x v="2"/>
    <n v="62"/>
    <n v="60"/>
    <n v="58"/>
    <n v="2"/>
    <n v="2"/>
  </r>
  <r>
    <x v="21"/>
    <x v="3"/>
    <n v="31"/>
    <n v="31"/>
    <n v="26"/>
    <n v="5"/>
    <n v="0"/>
  </r>
  <r>
    <x v="21"/>
    <x v="3"/>
    <n v="16"/>
    <n v="15"/>
    <n v="13"/>
    <n v="2"/>
    <n v="0"/>
  </r>
  <r>
    <x v="21"/>
    <x v="4"/>
    <n v="71"/>
    <n v="69"/>
    <n v="57"/>
    <n v="12"/>
    <n v="0"/>
  </r>
  <r>
    <x v="21"/>
    <x v="4"/>
    <n v="46"/>
    <n v="43"/>
    <n v="31"/>
    <n v="12"/>
    <n v="0"/>
  </r>
  <r>
    <x v="21"/>
    <x v="13"/>
    <n v="3"/>
    <n v="3"/>
    <n v="2"/>
    <n v="1"/>
    <n v="0"/>
  </r>
  <r>
    <x v="21"/>
    <x v="5"/>
    <n v="68"/>
    <n v="68"/>
    <n v="61"/>
    <n v="7"/>
    <n v="0"/>
  </r>
  <r>
    <x v="21"/>
    <x v="5"/>
    <n v="38"/>
    <n v="36"/>
    <n v="33"/>
    <n v="3"/>
    <n v="1"/>
  </r>
  <r>
    <x v="21"/>
    <x v="6"/>
    <n v="16"/>
    <n v="16"/>
    <n v="15"/>
    <n v="1"/>
    <n v="0"/>
  </r>
  <r>
    <x v="21"/>
    <x v="6"/>
    <n v="9"/>
    <n v="8"/>
    <n v="8"/>
    <n v="0"/>
    <n v="0"/>
  </r>
  <r>
    <x v="21"/>
    <x v="7"/>
    <n v="10"/>
    <n v="10"/>
    <n v="6"/>
    <n v="4"/>
    <n v="0"/>
  </r>
  <r>
    <x v="21"/>
    <x v="7"/>
    <n v="9"/>
    <n v="9"/>
    <n v="7"/>
    <n v="2"/>
    <n v="0"/>
  </r>
  <r>
    <x v="21"/>
    <x v="8"/>
    <n v="8"/>
    <n v="8"/>
    <n v="6"/>
    <n v="2"/>
    <n v="0"/>
  </r>
  <r>
    <x v="21"/>
    <x v="8"/>
    <n v="9"/>
    <n v="9"/>
    <n v="9"/>
    <n v="0"/>
    <n v="0"/>
  </r>
  <r>
    <x v="21"/>
    <x v="9"/>
    <n v="6"/>
    <n v="6"/>
    <n v="6"/>
    <n v="0"/>
    <n v="0"/>
  </r>
  <r>
    <x v="21"/>
    <x v="9"/>
    <n v="6"/>
    <n v="6"/>
    <n v="6"/>
    <n v="0"/>
    <n v="0"/>
  </r>
  <r>
    <x v="21"/>
    <x v="10"/>
    <n v="49"/>
    <n v="49"/>
    <n v="47"/>
    <n v="2"/>
    <n v="0"/>
  </r>
  <r>
    <x v="21"/>
    <x v="10"/>
    <n v="28"/>
    <n v="28"/>
    <n v="27"/>
    <n v="1"/>
    <n v="0"/>
  </r>
  <r>
    <x v="21"/>
    <x v="11"/>
    <n v="110"/>
    <n v="110"/>
    <n v="108"/>
    <n v="2"/>
    <n v="0"/>
  </r>
  <r>
    <x v="21"/>
    <x v="11"/>
    <n v="44"/>
    <n v="42"/>
    <n v="41"/>
    <n v="1"/>
    <n v="0"/>
  </r>
  <r>
    <x v="22"/>
    <x v="0"/>
    <n v="20"/>
    <n v="12"/>
    <n v="5"/>
    <n v="7"/>
    <n v="0"/>
  </r>
  <r>
    <x v="22"/>
    <x v="0"/>
    <n v="12"/>
    <n v="12"/>
    <n v="12"/>
    <n v="0"/>
    <n v="0"/>
  </r>
  <r>
    <x v="22"/>
    <x v="12"/>
    <n v="5"/>
    <n v="0"/>
    <n v="0"/>
    <n v="0"/>
    <n v="0"/>
  </r>
  <r>
    <x v="22"/>
    <x v="2"/>
    <n v="58"/>
    <n v="58"/>
    <n v="55"/>
    <n v="3"/>
    <n v="0"/>
  </r>
  <r>
    <x v="22"/>
    <x v="2"/>
    <n v="45"/>
    <n v="45"/>
    <n v="42"/>
    <n v="3"/>
    <n v="0"/>
  </r>
  <r>
    <x v="22"/>
    <x v="3"/>
    <n v="79"/>
    <n v="78"/>
    <n v="72"/>
    <n v="6"/>
    <n v="0"/>
  </r>
  <r>
    <x v="22"/>
    <x v="3"/>
    <n v="64"/>
    <n v="62"/>
    <n v="57"/>
    <n v="5"/>
    <n v="0"/>
  </r>
  <r>
    <x v="22"/>
    <x v="4"/>
    <n v="126"/>
    <n v="117"/>
    <n v="92"/>
    <n v="25"/>
    <n v="2"/>
  </r>
  <r>
    <x v="22"/>
    <x v="4"/>
    <n v="92"/>
    <n v="91"/>
    <n v="72"/>
    <n v="19"/>
    <n v="0"/>
  </r>
  <r>
    <x v="22"/>
    <x v="13"/>
    <n v="1"/>
    <n v="1"/>
    <n v="1"/>
    <n v="0"/>
    <n v="0"/>
  </r>
  <r>
    <x v="22"/>
    <x v="5"/>
    <n v="157"/>
    <n v="153"/>
    <n v="140"/>
    <n v="13"/>
    <n v="0"/>
  </r>
  <r>
    <x v="22"/>
    <x v="5"/>
    <n v="89"/>
    <n v="88"/>
    <n v="78"/>
    <n v="10"/>
    <n v="0"/>
  </r>
  <r>
    <x v="22"/>
    <x v="6"/>
    <n v="41"/>
    <n v="41"/>
    <n v="41"/>
    <n v="0"/>
    <n v="0"/>
  </r>
  <r>
    <x v="22"/>
    <x v="6"/>
    <n v="9"/>
    <n v="9"/>
    <n v="9"/>
    <n v="0"/>
    <n v="0"/>
  </r>
  <r>
    <x v="22"/>
    <x v="7"/>
    <n v="2"/>
    <n v="2"/>
    <n v="2"/>
    <n v="0"/>
    <n v="0"/>
  </r>
  <r>
    <x v="22"/>
    <x v="8"/>
    <n v="27"/>
    <n v="27"/>
    <n v="27"/>
    <n v="0"/>
    <n v="0"/>
  </r>
  <r>
    <x v="22"/>
    <x v="8"/>
    <n v="26"/>
    <n v="25"/>
    <n v="23"/>
    <n v="2"/>
    <n v="0"/>
  </r>
  <r>
    <x v="22"/>
    <x v="9"/>
    <n v="21"/>
    <n v="21"/>
    <n v="21"/>
    <n v="0"/>
    <n v="0"/>
  </r>
  <r>
    <x v="22"/>
    <x v="9"/>
    <n v="8"/>
    <n v="8"/>
    <n v="8"/>
    <n v="0"/>
    <n v="0"/>
  </r>
  <r>
    <x v="22"/>
    <x v="10"/>
    <n v="76"/>
    <n v="76"/>
    <n v="75"/>
    <n v="1"/>
    <n v="0"/>
  </r>
  <r>
    <x v="22"/>
    <x v="10"/>
    <n v="63"/>
    <n v="61"/>
    <n v="50"/>
    <n v="11"/>
    <n v="1"/>
  </r>
  <r>
    <x v="22"/>
    <x v="11"/>
    <n v="60"/>
    <n v="60"/>
    <n v="58"/>
    <n v="2"/>
    <n v="0"/>
  </r>
  <r>
    <x v="22"/>
    <x v="11"/>
    <n v="38"/>
    <n v="34"/>
    <n v="31"/>
    <n v="3"/>
    <n v="0"/>
  </r>
  <r>
    <x v="23"/>
    <x v="0"/>
    <n v="1"/>
    <n v="1"/>
    <n v="1"/>
    <n v="0"/>
    <n v="0"/>
  </r>
  <r>
    <x v="23"/>
    <x v="12"/>
    <n v="4"/>
    <n v="0"/>
    <n v="0"/>
    <n v="0"/>
    <n v="0"/>
  </r>
  <r>
    <x v="23"/>
    <x v="2"/>
    <n v="10"/>
    <n v="10"/>
    <n v="9"/>
    <n v="1"/>
    <n v="0"/>
  </r>
  <r>
    <x v="23"/>
    <x v="2"/>
    <n v="5"/>
    <n v="5"/>
    <n v="3"/>
    <n v="2"/>
    <n v="0"/>
  </r>
  <r>
    <x v="23"/>
    <x v="3"/>
    <n v="13"/>
    <n v="13"/>
    <n v="11"/>
    <n v="2"/>
    <n v="0"/>
  </r>
  <r>
    <x v="23"/>
    <x v="3"/>
    <n v="21"/>
    <n v="20"/>
    <n v="13"/>
    <n v="7"/>
    <n v="0"/>
  </r>
  <r>
    <x v="23"/>
    <x v="4"/>
    <n v="35"/>
    <n v="34"/>
    <n v="24"/>
    <n v="10"/>
    <n v="1"/>
  </r>
  <r>
    <x v="23"/>
    <x v="4"/>
    <n v="37"/>
    <n v="29"/>
    <n v="25"/>
    <n v="4"/>
    <n v="3"/>
  </r>
  <r>
    <x v="23"/>
    <x v="5"/>
    <n v="40"/>
    <n v="40"/>
    <n v="29"/>
    <n v="11"/>
    <n v="0"/>
  </r>
  <r>
    <x v="23"/>
    <x v="5"/>
    <n v="23"/>
    <n v="22"/>
    <n v="17"/>
    <n v="5"/>
    <n v="0"/>
  </r>
  <r>
    <x v="23"/>
    <x v="6"/>
    <n v="10"/>
    <n v="10"/>
    <n v="10"/>
    <n v="0"/>
    <n v="0"/>
  </r>
  <r>
    <x v="23"/>
    <x v="6"/>
    <n v="13"/>
    <n v="13"/>
    <n v="13"/>
    <n v="0"/>
    <n v="0"/>
  </r>
  <r>
    <x v="23"/>
    <x v="8"/>
    <n v="16"/>
    <n v="16"/>
    <n v="12"/>
    <n v="4"/>
    <n v="0"/>
  </r>
  <r>
    <x v="23"/>
    <x v="8"/>
    <n v="7"/>
    <n v="7"/>
    <n v="4"/>
    <n v="3"/>
    <n v="0"/>
  </r>
  <r>
    <x v="23"/>
    <x v="9"/>
    <n v="9"/>
    <n v="9"/>
    <n v="9"/>
    <n v="0"/>
    <n v="0"/>
  </r>
  <r>
    <x v="23"/>
    <x v="10"/>
    <n v="21"/>
    <n v="21"/>
    <n v="20"/>
    <n v="1"/>
    <n v="0"/>
  </r>
  <r>
    <x v="23"/>
    <x v="10"/>
    <n v="14"/>
    <n v="13"/>
    <n v="10"/>
    <n v="3"/>
    <n v="0"/>
  </r>
  <r>
    <x v="23"/>
    <x v="11"/>
    <n v="10"/>
    <n v="10"/>
    <n v="3"/>
    <n v="7"/>
    <n v="0"/>
  </r>
  <r>
    <x v="23"/>
    <x v="11"/>
    <n v="2"/>
    <n v="1"/>
    <n v="1"/>
    <n v="0"/>
    <n v="0"/>
  </r>
  <r>
    <x v="24"/>
    <x v="0"/>
    <n v="3"/>
    <n v="3"/>
    <n v="3"/>
    <n v="0"/>
    <n v="0"/>
  </r>
  <r>
    <x v="24"/>
    <x v="16"/>
    <n v="1"/>
    <n v="0"/>
    <n v="0"/>
    <n v="0"/>
    <n v="0"/>
  </r>
  <r>
    <x v="24"/>
    <x v="3"/>
    <n v="14"/>
    <n v="13"/>
    <n v="6"/>
    <n v="7"/>
    <n v="0"/>
  </r>
  <r>
    <x v="24"/>
    <x v="3"/>
    <n v="15"/>
    <n v="15"/>
    <n v="13"/>
    <n v="2"/>
    <n v="0"/>
  </r>
  <r>
    <x v="24"/>
    <x v="4"/>
    <n v="17"/>
    <n v="16"/>
    <n v="8"/>
    <n v="8"/>
    <n v="0"/>
  </r>
  <r>
    <x v="24"/>
    <x v="4"/>
    <n v="21"/>
    <n v="19"/>
    <n v="17"/>
    <n v="2"/>
    <n v="1"/>
  </r>
  <r>
    <x v="24"/>
    <x v="5"/>
    <n v="16"/>
    <n v="16"/>
    <n v="13"/>
    <n v="3"/>
    <n v="0"/>
  </r>
  <r>
    <x v="24"/>
    <x v="5"/>
    <n v="15"/>
    <n v="15"/>
    <n v="13"/>
    <n v="2"/>
    <n v="0"/>
  </r>
  <r>
    <x v="24"/>
    <x v="6"/>
    <n v="4"/>
    <n v="4"/>
    <n v="4"/>
    <n v="0"/>
    <n v="0"/>
  </r>
  <r>
    <x v="24"/>
    <x v="6"/>
    <n v="1"/>
    <n v="1"/>
    <n v="0"/>
    <n v="1"/>
    <n v="0"/>
  </r>
  <r>
    <x v="24"/>
    <x v="7"/>
    <n v="4"/>
    <n v="2"/>
    <n v="1"/>
    <n v="1"/>
    <n v="0"/>
  </r>
  <r>
    <x v="24"/>
    <x v="8"/>
    <n v="5"/>
    <n v="5"/>
    <n v="5"/>
    <n v="0"/>
    <n v="0"/>
  </r>
  <r>
    <x v="24"/>
    <x v="8"/>
    <n v="5"/>
    <n v="5"/>
    <n v="3"/>
    <n v="2"/>
    <n v="0"/>
  </r>
  <r>
    <x v="24"/>
    <x v="9"/>
    <n v="5"/>
    <n v="5"/>
    <n v="5"/>
    <n v="0"/>
    <n v="0"/>
  </r>
  <r>
    <x v="24"/>
    <x v="9"/>
    <n v="1"/>
    <n v="1"/>
    <n v="1"/>
    <n v="0"/>
    <n v="0"/>
  </r>
  <r>
    <x v="24"/>
    <x v="10"/>
    <n v="23"/>
    <n v="23"/>
    <n v="21"/>
    <n v="2"/>
    <n v="0"/>
  </r>
  <r>
    <x v="24"/>
    <x v="10"/>
    <n v="17"/>
    <n v="17"/>
    <n v="14"/>
    <n v="3"/>
    <n v="0"/>
  </r>
  <r>
    <x v="25"/>
    <x v="0"/>
    <n v="1"/>
    <n v="1"/>
    <n v="1"/>
    <n v="0"/>
    <n v="0"/>
  </r>
  <r>
    <x v="25"/>
    <x v="2"/>
    <n v="16"/>
    <n v="14"/>
    <n v="14"/>
    <n v="0"/>
    <n v="2"/>
  </r>
  <r>
    <x v="25"/>
    <x v="2"/>
    <n v="7"/>
    <n v="7"/>
    <n v="4"/>
    <n v="3"/>
    <n v="0"/>
  </r>
  <r>
    <x v="25"/>
    <x v="3"/>
    <n v="51"/>
    <n v="47"/>
    <n v="41"/>
    <n v="6"/>
    <n v="0"/>
  </r>
  <r>
    <x v="25"/>
    <x v="3"/>
    <n v="58"/>
    <n v="52"/>
    <n v="50"/>
    <n v="2"/>
    <n v="1"/>
  </r>
  <r>
    <x v="25"/>
    <x v="4"/>
    <n v="73"/>
    <n v="64"/>
    <n v="56"/>
    <n v="8"/>
    <n v="6"/>
  </r>
  <r>
    <x v="25"/>
    <x v="4"/>
    <n v="83"/>
    <n v="79"/>
    <n v="72"/>
    <n v="7"/>
    <n v="1"/>
  </r>
  <r>
    <x v="25"/>
    <x v="13"/>
    <n v="1"/>
    <n v="1"/>
    <n v="1"/>
    <n v="0"/>
    <n v="0"/>
  </r>
  <r>
    <x v="25"/>
    <x v="5"/>
    <n v="24"/>
    <n v="23"/>
    <n v="19"/>
    <n v="4"/>
    <n v="0"/>
  </r>
  <r>
    <x v="25"/>
    <x v="5"/>
    <n v="30"/>
    <n v="29"/>
    <n v="28"/>
    <n v="1"/>
    <n v="1"/>
  </r>
  <r>
    <x v="25"/>
    <x v="6"/>
    <n v="82"/>
    <n v="82"/>
    <n v="82"/>
    <n v="0"/>
    <n v="0"/>
  </r>
  <r>
    <x v="25"/>
    <x v="6"/>
    <n v="20"/>
    <n v="20"/>
    <n v="20"/>
    <n v="0"/>
    <n v="0"/>
  </r>
  <r>
    <x v="25"/>
    <x v="7"/>
    <n v="2"/>
    <n v="1"/>
    <n v="1"/>
    <n v="0"/>
    <n v="0"/>
  </r>
  <r>
    <x v="25"/>
    <x v="7"/>
    <n v="2"/>
    <n v="2"/>
    <n v="1"/>
    <n v="1"/>
    <n v="0"/>
  </r>
  <r>
    <x v="25"/>
    <x v="8"/>
    <n v="38"/>
    <n v="36"/>
    <n v="34"/>
    <n v="2"/>
    <n v="0"/>
  </r>
  <r>
    <x v="25"/>
    <x v="8"/>
    <n v="18"/>
    <n v="18"/>
    <n v="18"/>
    <n v="0"/>
    <n v="0"/>
  </r>
  <r>
    <x v="25"/>
    <x v="9"/>
    <n v="14"/>
    <n v="14"/>
    <n v="14"/>
    <n v="0"/>
    <n v="0"/>
  </r>
  <r>
    <x v="25"/>
    <x v="9"/>
    <n v="15"/>
    <n v="11"/>
    <n v="11"/>
    <n v="0"/>
    <n v="0"/>
  </r>
  <r>
    <x v="25"/>
    <x v="10"/>
    <n v="70"/>
    <n v="70"/>
    <n v="61"/>
    <n v="9"/>
    <n v="0"/>
  </r>
  <r>
    <x v="25"/>
    <x v="10"/>
    <n v="60"/>
    <n v="60"/>
    <n v="50"/>
    <n v="10"/>
    <n v="0"/>
  </r>
  <r>
    <x v="25"/>
    <x v="11"/>
    <n v="17"/>
    <n v="16"/>
    <n v="16"/>
    <n v="0"/>
    <n v="0"/>
  </r>
  <r>
    <x v="25"/>
    <x v="11"/>
    <n v="3"/>
    <n v="3"/>
    <n v="3"/>
    <n v="0"/>
    <n v="0"/>
  </r>
  <r>
    <x v="26"/>
    <x v="0"/>
    <n v="6"/>
    <n v="5"/>
    <n v="3"/>
    <n v="2"/>
    <n v="0"/>
  </r>
  <r>
    <x v="26"/>
    <x v="0"/>
    <n v="1"/>
    <n v="1"/>
    <n v="1"/>
    <n v="0"/>
    <n v="0"/>
  </r>
  <r>
    <x v="26"/>
    <x v="2"/>
    <n v="5"/>
    <n v="5"/>
    <n v="4"/>
    <n v="1"/>
    <n v="0"/>
  </r>
  <r>
    <x v="26"/>
    <x v="2"/>
    <n v="6"/>
    <n v="6"/>
    <n v="4"/>
    <n v="2"/>
    <n v="0"/>
  </r>
  <r>
    <x v="26"/>
    <x v="3"/>
    <n v="16"/>
    <n v="16"/>
    <n v="12"/>
    <n v="4"/>
    <n v="0"/>
  </r>
  <r>
    <x v="26"/>
    <x v="3"/>
    <n v="6"/>
    <n v="6"/>
    <n v="6"/>
    <n v="0"/>
    <n v="0"/>
  </r>
  <r>
    <x v="26"/>
    <x v="4"/>
    <n v="20"/>
    <n v="20"/>
    <n v="17"/>
    <n v="3"/>
    <n v="0"/>
  </r>
  <r>
    <x v="26"/>
    <x v="4"/>
    <n v="11"/>
    <n v="10"/>
    <n v="8"/>
    <n v="2"/>
    <n v="1"/>
  </r>
  <r>
    <x v="26"/>
    <x v="13"/>
    <n v="1"/>
    <n v="1"/>
    <n v="1"/>
    <n v="0"/>
    <n v="0"/>
  </r>
  <r>
    <x v="26"/>
    <x v="5"/>
    <n v="18"/>
    <n v="18"/>
    <n v="18"/>
    <n v="0"/>
    <n v="0"/>
  </r>
  <r>
    <x v="26"/>
    <x v="5"/>
    <n v="45"/>
    <n v="45"/>
    <n v="43"/>
    <n v="2"/>
    <n v="0"/>
  </r>
  <r>
    <x v="26"/>
    <x v="6"/>
    <n v="1"/>
    <n v="1"/>
    <n v="1"/>
    <n v="0"/>
    <n v="0"/>
  </r>
  <r>
    <x v="26"/>
    <x v="6"/>
    <n v="3"/>
    <n v="3"/>
    <n v="3"/>
    <n v="0"/>
    <n v="0"/>
  </r>
  <r>
    <x v="26"/>
    <x v="7"/>
    <n v="5"/>
    <n v="5"/>
    <n v="5"/>
    <n v="0"/>
    <n v="0"/>
  </r>
  <r>
    <x v="26"/>
    <x v="8"/>
    <n v="2"/>
    <n v="2"/>
    <n v="2"/>
    <n v="0"/>
    <n v="0"/>
  </r>
  <r>
    <x v="26"/>
    <x v="9"/>
    <n v="1"/>
    <n v="1"/>
    <n v="1"/>
    <n v="0"/>
    <n v="0"/>
  </r>
  <r>
    <x v="26"/>
    <x v="10"/>
    <n v="13"/>
    <n v="13"/>
    <n v="13"/>
    <n v="0"/>
    <n v="0"/>
  </r>
  <r>
    <x v="26"/>
    <x v="10"/>
    <n v="6"/>
    <n v="6"/>
    <n v="5"/>
    <n v="1"/>
    <n v="0"/>
  </r>
  <r>
    <x v="26"/>
    <x v="11"/>
    <n v="5"/>
    <n v="5"/>
    <n v="5"/>
    <n v="0"/>
    <n v="0"/>
  </r>
  <r>
    <x v="26"/>
    <x v="11"/>
    <n v="3"/>
    <n v="3"/>
    <n v="2"/>
    <n v="1"/>
    <n v="0"/>
  </r>
  <r>
    <x v="27"/>
    <x v="0"/>
    <n v="8"/>
    <n v="8"/>
    <n v="2"/>
    <n v="6"/>
    <n v="0"/>
  </r>
  <r>
    <x v="27"/>
    <x v="0"/>
    <n v="9"/>
    <n v="9"/>
    <n v="9"/>
    <n v="0"/>
    <n v="0"/>
  </r>
  <r>
    <x v="27"/>
    <x v="2"/>
    <n v="33"/>
    <n v="32"/>
    <n v="29"/>
    <n v="3"/>
    <n v="1"/>
  </r>
  <r>
    <x v="27"/>
    <x v="2"/>
    <n v="27"/>
    <n v="27"/>
    <n v="25"/>
    <n v="2"/>
    <n v="0"/>
  </r>
  <r>
    <x v="27"/>
    <x v="3"/>
    <n v="42"/>
    <n v="42"/>
    <n v="39"/>
    <n v="3"/>
    <n v="0"/>
  </r>
  <r>
    <x v="27"/>
    <x v="3"/>
    <n v="40"/>
    <n v="36"/>
    <n v="34"/>
    <n v="2"/>
    <n v="4"/>
  </r>
  <r>
    <x v="27"/>
    <x v="4"/>
    <n v="35"/>
    <n v="33"/>
    <n v="28"/>
    <n v="5"/>
    <n v="1"/>
  </r>
  <r>
    <x v="27"/>
    <x v="4"/>
    <n v="41"/>
    <n v="41"/>
    <n v="40"/>
    <n v="1"/>
    <n v="0"/>
  </r>
  <r>
    <x v="27"/>
    <x v="5"/>
    <n v="26"/>
    <n v="25"/>
    <n v="24"/>
    <n v="1"/>
    <n v="1"/>
  </r>
  <r>
    <x v="27"/>
    <x v="5"/>
    <n v="15"/>
    <n v="15"/>
    <n v="14"/>
    <n v="1"/>
    <n v="0"/>
  </r>
  <r>
    <x v="27"/>
    <x v="6"/>
    <n v="11"/>
    <n v="11"/>
    <n v="11"/>
    <n v="0"/>
    <n v="0"/>
  </r>
  <r>
    <x v="27"/>
    <x v="6"/>
    <n v="16"/>
    <n v="16"/>
    <n v="16"/>
    <n v="0"/>
    <n v="0"/>
  </r>
  <r>
    <x v="27"/>
    <x v="7"/>
    <n v="5"/>
    <n v="5"/>
    <n v="5"/>
    <n v="0"/>
    <n v="0"/>
  </r>
  <r>
    <x v="27"/>
    <x v="7"/>
    <n v="2"/>
    <n v="2"/>
    <n v="2"/>
    <n v="0"/>
    <n v="0"/>
  </r>
  <r>
    <x v="27"/>
    <x v="8"/>
    <n v="11"/>
    <n v="10"/>
    <n v="8"/>
    <n v="2"/>
    <n v="1"/>
  </r>
  <r>
    <x v="27"/>
    <x v="8"/>
    <n v="12"/>
    <n v="12"/>
    <n v="9"/>
    <n v="3"/>
    <n v="0"/>
  </r>
  <r>
    <x v="27"/>
    <x v="9"/>
    <n v="6"/>
    <n v="6"/>
    <n v="6"/>
    <n v="0"/>
    <n v="0"/>
  </r>
  <r>
    <x v="27"/>
    <x v="9"/>
    <n v="12"/>
    <n v="12"/>
    <n v="9"/>
    <n v="3"/>
    <n v="0"/>
  </r>
  <r>
    <x v="27"/>
    <x v="10"/>
    <n v="49"/>
    <n v="49"/>
    <n v="49"/>
    <n v="0"/>
    <n v="0"/>
  </r>
  <r>
    <x v="27"/>
    <x v="10"/>
    <n v="42"/>
    <n v="42"/>
    <n v="38"/>
    <n v="4"/>
    <n v="0"/>
  </r>
  <r>
    <x v="27"/>
    <x v="11"/>
    <n v="30"/>
    <n v="14"/>
    <n v="14"/>
    <n v="0"/>
    <n v="0"/>
  </r>
  <r>
    <x v="27"/>
    <x v="11"/>
    <n v="23"/>
    <n v="4"/>
    <n v="4"/>
    <n v="0"/>
    <n v="0"/>
  </r>
  <r>
    <x v="28"/>
    <x v="0"/>
    <n v="18"/>
    <n v="7"/>
    <n v="7"/>
    <n v="0"/>
    <n v="0"/>
  </r>
  <r>
    <x v="28"/>
    <x v="0"/>
    <n v="23"/>
    <n v="21"/>
    <n v="21"/>
    <n v="0"/>
    <n v="0"/>
  </r>
  <r>
    <x v="28"/>
    <x v="12"/>
    <n v="1"/>
    <n v="0"/>
    <n v="0"/>
    <n v="0"/>
    <n v="0"/>
  </r>
  <r>
    <x v="28"/>
    <x v="2"/>
    <n v="82"/>
    <n v="76"/>
    <n v="76"/>
    <n v="0"/>
    <n v="0"/>
  </r>
  <r>
    <x v="28"/>
    <x v="2"/>
    <n v="57"/>
    <n v="43"/>
    <n v="41"/>
    <n v="2"/>
    <n v="0"/>
  </r>
  <r>
    <x v="28"/>
    <x v="3"/>
    <n v="88"/>
    <n v="69"/>
    <n v="65"/>
    <n v="4"/>
    <n v="0"/>
  </r>
  <r>
    <x v="28"/>
    <x v="3"/>
    <n v="41"/>
    <n v="33"/>
    <n v="28"/>
    <n v="5"/>
    <n v="0"/>
  </r>
  <r>
    <x v="28"/>
    <x v="4"/>
    <n v="131"/>
    <n v="114"/>
    <n v="96"/>
    <n v="18"/>
    <n v="0"/>
  </r>
  <r>
    <x v="28"/>
    <x v="4"/>
    <n v="102"/>
    <n v="83"/>
    <n v="67"/>
    <n v="16"/>
    <n v="0"/>
  </r>
  <r>
    <x v="28"/>
    <x v="13"/>
    <n v="1"/>
    <n v="1"/>
    <n v="1"/>
    <n v="0"/>
    <n v="0"/>
  </r>
  <r>
    <x v="28"/>
    <x v="5"/>
    <n v="91"/>
    <n v="73"/>
    <n v="60"/>
    <n v="13"/>
    <n v="0"/>
  </r>
  <r>
    <x v="28"/>
    <x v="5"/>
    <n v="75"/>
    <n v="62"/>
    <n v="56"/>
    <n v="6"/>
    <n v="0"/>
  </r>
  <r>
    <x v="28"/>
    <x v="6"/>
    <n v="44"/>
    <n v="35"/>
    <n v="34"/>
    <n v="1"/>
    <n v="0"/>
  </r>
  <r>
    <x v="28"/>
    <x v="6"/>
    <n v="28"/>
    <n v="23"/>
    <n v="23"/>
    <n v="0"/>
    <n v="0"/>
  </r>
  <r>
    <x v="28"/>
    <x v="7"/>
    <n v="15"/>
    <n v="12"/>
    <n v="12"/>
    <n v="0"/>
    <n v="0"/>
  </r>
  <r>
    <x v="28"/>
    <x v="7"/>
    <n v="3"/>
    <n v="0"/>
    <n v="0"/>
    <n v="0"/>
    <n v="0"/>
  </r>
  <r>
    <x v="28"/>
    <x v="8"/>
    <n v="28"/>
    <n v="14"/>
    <n v="14"/>
    <n v="0"/>
    <n v="0"/>
  </r>
  <r>
    <x v="28"/>
    <x v="8"/>
    <n v="18"/>
    <n v="2"/>
    <n v="0"/>
    <n v="2"/>
    <n v="0"/>
  </r>
  <r>
    <x v="28"/>
    <x v="9"/>
    <n v="15"/>
    <n v="8"/>
    <n v="8"/>
    <n v="0"/>
    <n v="0"/>
  </r>
  <r>
    <x v="28"/>
    <x v="9"/>
    <n v="5"/>
    <n v="0"/>
    <n v="0"/>
    <n v="0"/>
    <n v="0"/>
  </r>
  <r>
    <x v="28"/>
    <x v="10"/>
    <n v="97"/>
    <n v="86"/>
    <n v="85"/>
    <n v="1"/>
    <n v="0"/>
  </r>
  <r>
    <x v="28"/>
    <x v="10"/>
    <n v="58"/>
    <n v="53"/>
    <n v="51"/>
    <n v="2"/>
    <n v="0"/>
  </r>
  <r>
    <x v="28"/>
    <x v="11"/>
    <n v="90"/>
    <n v="67"/>
    <n v="67"/>
    <n v="0"/>
    <n v="0"/>
  </r>
  <r>
    <x v="28"/>
    <x v="11"/>
    <n v="32"/>
    <n v="2"/>
    <n v="2"/>
    <n v="0"/>
    <n v="0"/>
  </r>
  <r>
    <x v="29"/>
    <x v="0"/>
    <n v="2"/>
    <n v="2"/>
    <n v="2"/>
    <n v="0"/>
    <n v="0"/>
  </r>
  <r>
    <x v="29"/>
    <x v="0"/>
    <n v="1"/>
    <n v="1"/>
    <n v="1"/>
    <n v="0"/>
    <n v="0"/>
  </r>
  <r>
    <x v="29"/>
    <x v="2"/>
    <n v="21"/>
    <n v="21"/>
    <n v="16"/>
    <n v="5"/>
    <n v="0"/>
  </r>
  <r>
    <x v="29"/>
    <x v="2"/>
    <n v="7"/>
    <n v="7"/>
    <n v="5"/>
    <n v="2"/>
    <n v="0"/>
  </r>
  <r>
    <x v="29"/>
    <x v="3"/>
    <n v="50"/>
    <n v="50"/>
    <n v="49"/>
    <n v="1"/>
    <n v="0"/>
  </r>
  <r>
    <x v="29"/>
    <x v="3"/>
    <n v="37"/>
    <n v="36"/>
    <n v="36"/>
    <n v="0"/>
    <n v="1"/>
  </r>
  <r>
    <x v="29"/>
    <x v="4"/>
    <n v="87"/>
    <n v="85"/>
    <n v="79"/>
    <n v="6"/>
    <n v="0"/>
  </r>
  <r>
    <x v="29"/>
    <x v="4"/>
    <n v="41"/>
    <n v="36"/>
    <n v="31"/>
    <n v="5"/>
    <n v="1"/>
  </r>
  <r>
    <x v="29"/>
    <x v="13"/>
    <n v="1"/>
    <n v="1"/>
    <n v="1"/>
    <n v="0"/>
    <n v="0"/>
  </r>
  <r>
    <x v="29"/>
    <x v="5"/>
    <n v="120"/>
    <n v="119"/>
    <n v="106"/>
    <n v="13"/>
    <n v="0"/>
  </r>
  <r>
    <x v="29"/>
    <x v="5"/>
    <n v="68"/>
    <n v="65"/>
    <n v="60"/>
    <n v="5"/>
    <n v="0"/>
  </r>
  <r>
    <x v="29"/>
    <x v="6"/>
    <n v="1"/>
    <n v="1"/>
    <n v="1"/>
    <n v="0"/>
    <n v="0"/>
  </r>
  <r>
    <x v="29"/>
    <x v="6"/>
    <n v="3"/>
    <n v="3"/>
    <n v="3"/>
    <n v="0"/>
    <n v="0"/>
  </r>
  <r>
    <x v="29"/>
    <x v="7"/>
    <n v="6"/>
    <n v="4"/>
    <n v="3"/>
    <n v="1"/>
    <n v="0"/>
  </r>
  <r>
    <x v="29"/>
    <x v="7"/>
    <n v="1"/>
    <n v="1"/>
    <n v="1"/>
    <n v="0"/>
    <n v="0"/>
  </r>
  <r>
    <x v="29"/>
    <x v="8"/>
    <n v="20"/>
    <n v="19"/>
    <n v="19"/>
    <n v="0"/>
    <n v="0"/>
  </r>
  <r>
    <x v="29"/>
    <x v="8"/>
    <n v="19"/>
    <n v="18"/>
    <n v="14"/>
    <n v="4"/>
    <n v="0"/>
  </r>
  <r>
    <x v="29"/>
    <x v="9"/>
    <n v="18"/>
    <n v="16"/>
    <n v="15"/>
    <n v="1"/>
    <n v="0"/>
  </r>
  <r>
    <x v="29"/>
    <x v="9"/>
    <n v="6"/>
    <n v="5"/>
    <n v="5"/>
    <n v="0"/>
    <n v="0"/>
  </r>
  <r>
    <x v="29"/>
    <x v="10"/>
    <n v="93"/>
    <n v="92"/>
    <n v="88"/>
    <n v="4"/>
    <n v="0"/>
  </r>
  <r>
    <x v="29"/>
    <x v="10"/>
    <n v="77"/>
    <n v="77"/>
    <n v="73"/>
    <n v="4"/>
    <n v="0"/>
  </r>
  <r>
    <x v="29"/>
    <x v="11"/>
    <n v="12"/>
    <n v="12"/>
    <n v="12"/>
    <n v="0"/>
    <n v="0"/>
  </r>
  <r>
    <x v="29"/>
    <x v="11"/>
    <n v="6"/>
    <n v="4"/>
    <n v="4"/>
    <n v="0"/>
    <n v="0"/>
  </r>
  <r>
    <x v="30"/>
    <x v="0"/>
    <n v="7"/>
    <n v="5"/>
    <n v="5"/>
    <n v="0"/>
    <n v="0"/>
  </r>
  <r>
    <x v="30"/>
    <x v="0"/>
    <n v="3"/>
    <n v="1"/>
    <n v="1"/>
    <n v="0"/>
    <n v="0"/>
  </r>
  <r>
    <x v="30"/>
    <x v="12"/>
    <n v="1"/>
    <n v="0"/>
    <n v="0"/>
    <n v="0"/>
    <n v="0"/>
  </r>
  <r>
    <x v="30"/>
    <x v="2"/>
    <n v="19"/>
    <n v="19"/>
    <n v="18"/>
    <n v="1"/>
    <n v="0"/>
  </r>
  <r>
    <x v="30"/>
    <x v="2"/>
    <n v="18"/>
    <n v="18"/>
    <n v="17"/>
    <n v="1"/>
    <n v="0"/>
  </r>
  <r>
    <x v="30"/>
    <x v="3"/>
    <n v="29"/>
    <n v="29"/>
    <n v="23"/>
    <n v="6"/>
    <n v="0"/>
  </r>
  <r>
    <x v="30"/>
    <x v="3"/>
    <n v="19"/>
    <n v="18"/>
    <n v="16"/>
    <n v="2"/>
    <n v="0"/>
  </r>
  <r>
    <x v="30"/>
    <x v="4"/>
    <n v="27"/>
    <n v="26"/>
    <n v="23"/>
    <n v="3"/>
    <n v="0"/>
  </r>
  <r>
    <x v="30"/>
    <x v="4"/>
    <n v="29"/>
    <n v="27"/>
    <n v="22"/>
    <n v="5"/>
    <n v="2"/>
  </r>
  <r>
    <x v="30"/>
    <x v="5"/>
    <n v="32"/>
    <n v="32"/>
    <n v="26"/>
    <n v="6"/>
    <n v="0"/>
  </r>
  <r>
    <x v="30"/>
    <x v="5"/>
    <n v="24"/>
    <n v="23"/>
    <n v="20"/>
    <n v="3"/>
    <n v="0"/>
  </r>
  <r>
    <x v="30"/>
    <x v="6"/>
    <n v="57"/>
    <n v="57"/>
    <n v="56"/>
    <n v="1"/>
    <n v="0"/>
  </r>
  <r>
    <x v="30"/>
    <x v="6"/>
    <n v="37"/>
    <n v="37"/>
    <n v="37"/>
    <n v="0"/>
    <n v="0"/>
  </r>
  <r>
    <x v="30"/>
    <x v="7"/>
    <n v="4"/>
    <n v="4"/>
    <n v="3"/>
    <n v="1"/>
    <n v="0"/>
  </r>
  <r>
    <x v="30"/>
    <x v="7"/>
    <n v="4"/>
    <n v="4"/>
    <n v="3"/>
    <n v="1"/>
    <n v="0"/>
  </r>
  <r>
    <x v="30"/>
    <x v="8"/>
    <n v="14"/>
    <n v="13"/>
    <n v="9"/>
    <n v="4"/>
    <n v="0"/>
  </r>
  <r>
    <x v="30"/>
    <x v="8"/>
    <n v="11"/>
    <n v="11"/>
    <n v="9"/>
    <n v="2"/>
    <n v="0"/>
  </r>
  <r>
    <x v="30"/>
    <x v="9"/>
    <n v="6"/>
    <n v="6"/>
    <n v="6"/>
    <n v="0"/>
    <n v="0"/>
  </r>
  <r>
    <x v="30"/>
    <x v="9"/>
    <n v="5"/>
    <n v="5"/>
    <n v="5"/>
    <n v="0"/>
    <n v="0"/>
  </r>
  <r>
    <x v="30"/>
    <x v="10"/>
    <n v="29"/>
    <n v="29"/>
    <n v="27"/>
    <n v="2"/>
    <n v="0"/>
  </r>
  <r>
    <x v="30"/>
    <x v="10"/>
    <n v="22"/>
    <n v="22"/>
    <n v="21"/>
    <n v="1"/>
    <n v="0"/>
  </r>
  <r>
    <x v="30"/>
    <x v="11"/>
    <n v="18"/>
    <n v="18"/>
    <n v="9"/>
    <n v="9"/>
    <n v="0"/>
  </r>
  <r>
    <x v="30"/>
    <x v="11"/>
    <n v="15"/>
    <n v="15"/>
    <n v="15"/>
    <n v="0"/>
    <n v="0"/>
  </r>
  <r>
    <x v="31"/>
    <x v="0"/>
    <n v="2"/>
    <n v="2"/>
    <n v="1"/>
    <n v="1"/>
    <n v="0"/>
  </r>
  <r>
    <x v="31"/>
    <x v="0"/>
    <n v="3"/>
    <n v="3"/>
    <n v="0"/>
    <n v="3"/>
    <n v="0"/>
  </r>
  <r>
    <x v="31"/>
    <x v="1"/>
    <n v="1"/>
    <n v="0"/>
    <n v="0"/>
    <n v="0"/>
    <n v="0"/>
  </r>
  <r>
    <x v="31"/>
    <x v="12"/>
    <n v="2"/>
    <n v="0"/>
    <n v="0"/>
    <n v="0"/>
    <n v="0"/>
  </r>
  <r>
    <x v="31"/>
    <x v="2"/>
    <n v="8"/>
    <n v="8"/>
    <n v="6"/>
    <n v="2"/>
    <n v="0"/>
  </r>
  <r>
    <x v="31"/>
    <x v="3"/>
    <n v="12"/>
    <n v="8"/>
    <n v="5"/>
    <n v="3"/>
    <n v="0"/>
  </r>
  <r>
    <x v="31"/>
    <x v="3"/>
    <n v="11"/>
    <n v="8"/>
    <n v="7"/>
    <n v="1"/>
    <n v="0"/>
  </r>
  <r>
    <x v="31"/>
    <x v="4"/>
    <n v="18"/>
    <n v="11"/>
    <n v="9"/>
    <n v="2"/>
    <n v="0"/>
  </r>
  <r>
    <x v="31"/>
    <x v="4"/>
    <n v="22"/>
    <n v="15"/>
    <n v="12"/>
    <n v="3"/>
    <n v="0"/>
  </r>
  <r>
    <x v="31"/>
    <x v="13"/>
    <n v="1"/>
    <n v="0"/>
    <n v="0"/>
    <n v="0"/>
    <n v="0"/>
  </r>
  <r>
    <x v="31"/>
    <x v="5"/>
    <n v="20"/>
    <n v="16"/>
    <n v="15"/>
    <n v="1"/>
    <n v="0"/>
  </r>
  <r>
    <x v="31"/>
    <x v="5"/>
    <n v="26"/>
    <n v="23"/>
    <n v="22"/>
    <n v="1"/>
    <n v="0"/>
  </r>
  <r>
    <x v="31"/>
    <x v="6"/>
    <n v="11"/>
    <n v="11"/>
    <n v="11"/>
    <n v="0"/>
    <n v="0"/>
  </r>
  <r>
    <x v="31"/>
    <x v="6"/>
    <n v="8"/>
    <n v="8"/>
    <n v="8"/>
    <n v="0"/>
    <n v="0"/>
  </r>
  <r>
    <x v="31"/>
    <x v="7"/>
    <n v="6"/>
    <n v="2"/>
    <n v="1"/>
    <n v="1"/>
    <n v="0"/>
  </r>
  <r>
    <x v="31"/>
    <x v="8"/>
    <n v="4"/>
    <n v="4"/>
    <n v="2"/>
    <n v="2"/>
    <n v="0"/>
  </r>
  <r>
    <x v="31"/>
    <x v="8"/>
    <n v="1"/>
    <n v="1"/>
    <n v="1"/>
    <n v="0"/>
    <n v="0"/>
  </r>
  <r>
    <x v="31"/>
    <x v="10"/>
    <n v="8"/>
    <n v="8"/>
    <n v="8"/>
    <n v="0"/>
    <n v="0"/>
  </r>
  <r>
    <x v="31"/>
    <x v="10"/>
    <n v="13"/>
    <n v="13"/>
    <n v="7"/>
    <n v="6"/>
    <n v="0"/>
  </r>
  <r>
    <x v="31"/>
    <x v="11"/>
    <n v="3"/>
    <n v="3"/>
    <n v="3"/>
    <n v="0"/>
    <n v="0"/>
  </r>
  <r>
    <x v="32"/>
    <x v="0"/>
    <n v="3"/>
    <n v="2"/>
    <n v="2"/>
    <n v="0"/>
    <n v="0"/>
  </r>
  <r>
    <x v="32"/>
    <x v="0"/>
    <n v="2"/>
    <n v="2"/>
    <n v="1"/>
    <n v="1"/>
    <n v="0"/>
  </r>
  <r>
    <x v="32"/>
    <x v="2"/>
    <n v="20"/>
    <n v="15"/>
    <n v="15"/>
    <n v="0"/>
    <n v="0"/>
  </r>
  <r>
    <x v="32"/>
    <x v="2"/>
    <n v="12"/>
    <n v="9"/>
    <n v="9"/>
    <n v="0"/>
    <n v="0"/>
  </r>
  <r>
    <x v="32"/>
    <x v="3"/>
    <n v="20"/>
    <n v="20"/>
    <n v="15"/>
    <n v="5"/>
    <n v="0"/>
  </r>
  <r>
    <x v="32"/>
    <x v="3"/>
    <n v="28"/>
    <n v="26"/>
    <n v="26"/>
    <n v="0"/>
    <n v="0"/>
  </r>
  <r>
    <x v="32"/>
    <x v="4"/>
    <n v="41"/>
    <n v="38"/>
    <n v="34"/>
    <n v="4"/>
    <n v="0"/>
  </r>
  <r>
    <x v="32"/>
    <x v="4"/>
    <n v="33"/>
    <n v="31"/>
    <n v="27"/>
    <n v="4"/>
    <n v="0"/>
  </r>
  <r>
    <x v="32"/>
    <x v="13"/>
    <n v="2"/>
    <n v="2"/>
    <n v="1"/>
    <n v="1"/>
    <n v="0"/>
  </r>
  <r>
    <x v="32"/>
    <x v="5"/>
    <n v="22"/>
    <n v="20"/>
    <n v="20"/>
    <n v="0"/>
    <n v="0"/>
  </r>
  <r>
    <x v="32"/>
    <x v="5"/>
    <n v="15"/>
    <n v="12"/>
    <n v="12"/>
    <n v="0"/>
    <n v="0"/>
  </r>
  <r>
    <x v="32"/>
    <x v="6"/>
    <n v="9"/>
    <n v="8"/>
    <n v="7"/>
    <n v="1"/>
    <n v="0"/>
  </r>
  <r>
    <x v="32"/>
    <x v="6"/>
    <n v="4"/>
    <n v="4"/>
    <n v="4"/>
    <n v="0"/>
    <n v="0"/>
  </r>
  <r>
    <x v="32"/>
    <x v="7"/>
    <n v="1"/>
    <n v="1"/>
    <n v="1"/>
    <n v="0"/>
    <n v="0"/>
  </r>
  <r>
    <x v="32"/>
    <x v="8"/>
    <n v="11"/>
    <n v="8"/>
    <n v="6"/>
    <n v="2"/>
    <n v="0"/>
  </r>
  <r>
    <x v="32"/>
    <x v="8"/>
    <n v="7"/>
    <n v="5"/>
    <n v="2"/>
    <n v="3"/>
    <n v="0"/>
  </r>
  <r>
    <x v="32"/>
    <x v="9"/>
    <n v="6"/>
    <n v="2"/>
    <n v="2"/>
    <n v="0"/>
    <n v="0"/>
  </r>
  <r>
    <x v="32"/>
    <x v="10"/>
    <n v="27"/>
    <n v="21"/>
    <n v="21"/>
    <n v="0"/>
    <n v="0"/>
  </r>
  <r>
    <x v="32"/>
    <x v="10"/>
    <n v="26"/>
    <n v="24"/>
    <n v="23"/>
    <n v="1"/>
    <n v="0"/>
  </r>
  <r>
    <x v="32"/>
    <x v="11"/>
    <n v="12"/>
    <n v="8"/>
    <n v="5"/>
    <n v="3"/>
    <n v="0"/>
  </r>
  <r>
    <x v="32"/>
    <x v="11"/>
    <n v="6"/>
    <n v="5"/>
    <n v="4"/>
    <n v="1"/>
    <n v="0"/>
  </r>
  <r>
    <x v="33"/>
    <x v="0"/>
    <n v="8"/>
    <n v="3"/>
    <n v="2"/>
    <n v="1"/>
    <n v="0"/>
  </r>
  <r>
    <x v="33"/>
    <x v="2"/>
    <n v="60"/>
    <n v="60"/>
    <n v="59"/>
    <n v="1"/>
    <n v="0"/>
  </r>
  <r>
    <x v="33"/>
    <x v="2"/>
    <n v="37"/>
    <n v="37"/>
    <n v="37"/>
    <n v="0"/>
    <n v="0"/>
  </r>
  <r>
    <x v="33"/>
    <x v="3"/>
    <n v="41"/>
    <n v="37"/>
    <n v="33"/>
    <n v="4"/>
    <n v="0"/>
  </r>
  <r>
    <x v="33"/>
    <x v="3"/>
    <n v="20"/>
    <n v="20"/>
    <n v="18"/>
    <n v="2"/>
    <n v="0"/>
  </r>
  <r>
    <x v="33"/>
    <x v="4"/>
    <n v="48"/>
    <n v="45"/>
    <n v="42"/>
    <n v="3"/>
    <n v="0"/>
  </r>
  <r>
    <x v="33"/>
    <x v="4"/>
    <n v="35"/>
    <n v="30"/>
    <n v="26"/>
    <n v="4"/>
    <n v="3"/>
  </r>
  <r>
    <x v="33"/>
    <x v="5"/>
    <n v="29"/>
    <n v="29"/>
    <n v="23"/>
    <n v="6"/>
    <n v="0"/>
  </r>
  <r>
    <x v="33"/>
    <x v="5"/>
    <n v="23"/>
    <n v="22"/>
    <n v="19"/>
    <n v="3"/>
    <n v="0"/>
  </r>
  <r>
    <x v="33"/>
    <x v="6"/>
    <n v="9"/>
    <n v="9"/>
    <n v="9"/>
    <n v="0"/>
    <n v="0"/>
  </r>
  <r>
    <x v="33"/>
    <x v="6"/>
    <n v="8"/>
    <n v="8"/>
    <n v="8"/>
    <n v="0"/>
    <n v="0"/>
  </r>
  <r>
    <x v="33"/>
    <x v="7"/>
    <n v="6"/>
    <n v="6"/>
    <n v="6"/>
    <n v="0"/>
    <n v="0"/>
  </r>
  <r>
    <x v="33"/>
    <x v="7"/>
    <n v="5"/>
    <n v="5"/>
    <n v="2"/>
    <n v="3"/>
    <n v="0"/>
  </r>
  <r>
    <x v="33"/>
    <x v="8"/>
    <n v="7"/>
    <n v="6"/>
    <n v="6"/>
    <n v="0"/>
    <n v="0"/>
  </r>
  <r>
    <x v="33"/>
    <x v="8"/>
    <n v="3"/>
    <n v="3"/>
    <n v="2"/>
    <n v="1"/>
    <n v="0"/>
  </r>
  <r>
    <x v="33"/>
    <x v="9"/>
    <n v="1"/>
    <n v="1"/>
    <n v="1"/>
    <n v="0"/>
    <n v="0"/>
  </r>
  <r>
    <x v="33"/>
    <x v="9"/>
    <n v="2"/>
    <n v="2"/>
    <n v="1"/>
    <n v="1"/>
    <n v="0"/>
  </r>
  <r>
    <x v="33"/>
    <x v="10"/>
    <n v="32"/>
    <n v="32"/>
    <n v="30"/>
    <n v="2"/>
    <n v="0"/>
  </r>
  <r>
    <x v="33"/>
    <x v="10"/>
    <n v="17"/>
    <n v="17"/>
    <n v="15"/>
    <n v="2"/>
    <n v="0"/>
  </r>
  <r>
    <x v="33"/>
    <x v="11"/>
    <n v="68"/>
    <n v="68"/>
    <n v="65"/>
    <n v="3"/>
    <n v="0"/>
  </r>
  <r>
    <x v="33"/>
    <x v="11"/>
    <n v="22"/>
    <n v="22"/>
    <n v="20"/>
    <n v="2"/>
    <n v="0"/>
  </r>
  <r>
    <x v="34"/>
    <x v="0"/>
    <n v="10"/>
    <n v="8"/>
    <n v="8"/>
    <n v="0"/>
    <n v="0"/>
  </r>
  <r>
    <x v="34"/>
    <x v="0"/>
    <n v="10"/>
    <n v="8"/>
    <n v="8"/>
    <n v="0"/>
    <n v="0"/>
  </r>
  <r>
    <x v="34"/>
    <x v="2"/>
    <n v="63"/>
    <n v="63"/>
    <n v="62"/>
    <n v="1"/>
    <n v="0"/>
  </r>
  <r>
    <x v="34"/>
    <x v="2"/>
    <n v="80"/>
    <n v="80"/>
    <n v="74"/>
    <n v="6"/>
    <n v="0"/>
  </r>
  <r>
    <x v="34"/>
    <x v="3"/>
    <n v="43"/>
    <n v="43"/>
    <n v="39"/>
    <n v="4"/>
    <n v="0"/>
  </r>
  <r>
    <x v="34"/>
    <x v="3"/>
    <n v="35"/>
    <n v="35"/>
    <n v="34"/>
    <n v="1"/>
    <n v="0"/>
  </r>
  <r>
    <x v="34"/>
    <x v="4"/>
    <n v="62"/>
    <n v="59"/>
    <n v="56"/>
    <n v="3"/>
    <n v="0"/>
  </r>
  <r>
    <x v="34"/>
    <x v="4"/>
    <n v="63"/>
    <n v="58"/>
    <n v="54"/>
    <n v="4"/>
    <n v="2"/>
  </r>
  <r>
    <x v="34"/>
    <x v="5"/>
    <n v="226"/>
    <n v="226"/>
    <n v="214"/>
    <n v="12"/>
    <n v="0"/>
  </r>
  <r>
    <x v="34"/>
    <x v="5"/>
    <n v="138"/>
    <n v="138"/>
    <n v="134"/>
    <n v="4"/>
    <n v="0"/>
  </r>
  <r>
    <x v="34"/>
    <x v="6"/>
    <n v="16"/>
    <n v="16"/>
    <n v="16"/>
    <n v="0"/>
    <n v="0"/>
  </r>
  <r>
    <x v="34"/>
    <x v="6"/>
    <n v="7"/>
    <n v="7"/>
    <n v="7"/>
    <n v="0"/>
    <n v="0"/>
  </r>
  <r>
    <x v="34"/>
    <x v="7"/>
    <n v="3"/>
    <n v="2"/>
    <n v="2"/>
    <n v="0"/>
    <n v="0"/>
  </r>
  <r>
    <x v="34"/>
    <x v="7"/>
    <n v="2"/>
    <n v="2"/>
    <n v="1"/>
    <n v="1"/>
    <n v="0"/>
  </r>
  <r>
    <x v="34"/>
    <x v="8"/>
    <n v="14"/>
    <n v="14"/>
    <n v="14"/>
    <n v="0"/>
    <n v="0"/>
  </r>
  <r>
    <x v="34"/>
    <x v="8"/>
    <n v="16"/>
    <n v="16"/>
    <n v="13"/>
    <n v="3"/>
    <n v="0"/>
  </r>
  <r>
    <x v="34"/>
    <x v="9"/>
    <n v="7"/>
    <n v="7"/>
    <n v="7"/>
    <n v="0"/>
    <n v="0"/>
  </r>
  <r>
    <x v="34"/>
    <x v="9"/>
    <n v="8"/>
    <n v="8"/>
    <n v="8"/>
    <n v="0"/>
    <n v="0"/>
  </r>
  <r>
    <x v="34"/>
    <x v="10"/>
    <n v="75"/>
    <n v="75"/>
    <n v="72"/>
    <n v="3"/>
    <n v="0"/>
  </r>
  <r>
    <x v="34"/>
    <x v="10"/>
    <n v="69"/>
    <n v="69"/>
    <n v="63"/>
    <n v="6"/>
    <n v="0"/>
  </r>
  <r>
    <x v="34"/>
    <x v="11"/>
    <n v="46"/>
    <n v="46"/>
    <n v="44"/>
    <n v="2"/>
    <n v="0"/>
  </r>
  <r>
    <x v="34"/>
    <x v="11"/>
    <n v="39"/>
    <n v="39"/>
    <n v="36"/>
    <n v="3"/>
    <n v="0"/>
  </r>
  <r>
    <x v="35"/>
    <x v="0"/>
    <n v="1"/>
    <n v="0"/>
    <n v="0"/>
    <n v="0"/>
    <n v="0"/>
  </r>
  <r>
    <x v="35"/>
    <x v="2"/>
    <n v="7"/>
    <n v="7"/>
    <n v="6"/>
    <n v="1"/>
    <n v="0"/>
  </r>
  <r>
    <x v="35"/>
    <x v="2"/>
    <n v="3"/>
    <n v="3"/>
    <n v="3"/>
    <n v="0"/>
    <n v="0"/>
  </r>
  <r>
    <x v="35"/>
    <x v="3"/>
    <n v="5"/>
    <n v="5"/>
    <n v="4"/>
    <n v="1"/>
    <n v="0"/>
  </r>
  <r>
    <x v="35"/>
    <x v="3"/>
    <n v="10"/>
    <n v="8"/>
    <n v="8"/>
    <n v="0"/>
    <n v="1"/>
  </r>
  <r>
    <x v="35"/>
    <x v="4"/>
    <n v="20"/>
    <n v="19"/>
    <n v="18"/>
    <n v="1"/>
    <n v="0"/>
  </r>
  <r>
    <x v="35"/>
    <x v="4"/>
    <n v="14"/>
    <n v="12"/>
    <n v="8"/>
    <n v="4"/>
    <n v="0"/>
  </r>
  <r>
    <x v="35"/>
    <x v="5"/>
    <n v="18"/>
    <n v="18"/>
    <n v="15"/>
    <n v="3"/>
    <n v="0"/>
  </r>
  <r>
    <x v="35"/>
    <x v="5"/>
    <n v="20"/>
    <n v="20"/>
    <n v="19"/>
    <n v="1"/>
    <n v="0"/>
  </r>
  <r>
    <x v="35"/>
    <x v="6"/>
    <n v="16"/>
    <n v="16"/>
    <n v="16"/>
    <n v="0"/>
    <n v="0"/>
  </r>
  <r>
    <x v="35"/>
    <x v="6"/>
    <n v="22"/>
    <n v="22"/>
    <n v="22"/>
    <n v="0"/>
    <n v="0"/>
  </r>
  <r>
    <x v="35"/>
    <x v="8"/>
    <n v="7"/>
    <n v="7"/>
    <n v="7"/>
    <n v="0"/>
    <n v="0"/>
  </r>
  <r>
    <x v="35"/>
    <x v="8"/>
    <n v="5"/>
    <n v="5"/>
    <n v="4"/>
    <n v="1"/>
    <n v="0"/>
  </r>
  <r>
    <x v="35"/>
    <x v="9"/>
    <n v="2"/>
    <n v="2"/>
    <n v="2"/>
    <n v="0"/>
    <n v="0"/>
  </r>
  <r>
    <x v="35"/>
    <x v="9"/>
    <n v="4"/>
    <n v="4"/>
    <n v="3"/>
    <n v="1"/>
    <n v="0"/>
  </r>
  <r>
    <x v="35"/>
    <x v="10"/>
    <n v="17"/>
    <n v="17"/>
    <n v="17"/>
    <n v="0"/>
    <n v="0"/>
  </r>
  <r>
    <x v="35"/>
    <x v="10"/>
    <n v="22"/>
    <n v="22"/>
    <n v="22"/>
    <n v="0"/>
    <n v="0"/>
  </r>
  <r>
    <x v="35"/>
    <x v="11"/>
    <n v="6"/>
    <n v="6"/>
    <n v="6"/>
    <n v="0"/>
    <n v="0"/>
  </r>
  <r>
    <x v="35"/>
    <x v="11"/>
    <n v="3"/>
    <n v="2"/>
    <n v="2"/>
    <n v="0"/>
    <n v="0"/>
  </r>
  <r>
    <x v="36"/>
    <x v="0"/>
    <n v="1"/>
    <n v="1"/>
    <n v="1"/>
    <n v="0"/>
    <n v="0"/>
  </r>
  <r>
    <x v="36"/>
    <x v="12"/>
    <n v="1"/>
    <n v="0"/>
    <n v="0"/>
    <n v="0"/>
    <n v="0"/>
  </r>
  <r>
    <x v="36"/>
    <x v="2"/>
    <n v="45"/>
    <n v="44"/>
    <n v="43"/>
    <n v="1"/>
    <n v="0"/>
  </r>
  <r>
    <x v="36"/>
    <x v="2"/>
    <n v="30"/>
    <n v="27"/>
    <n v="27"/>
    <n v="0"/>
    <n v="1"/>
  </r>
  <r>
    <x v="36"/>
    <x v="3"/>
    <n v="47"/>
    <n v="47"/>
    <n v="45"/>
    <n v="2"/>
    <n v="0"/>
  </r>
  <r>
    <x v="36"/>
    <x v="3"/>
    <n v="26"/>
    <n v="24"/>
    <n v="23"/>
    <n v="1"/>
    <n v="1"/>
  </r>
  <r>
    <x v="36"/>
    <x v="4"/>
    <n v="51"/>
    <n v="51"/>
    <n v="50"/>
    <n v="1"/>
    <n v="0"/>
  </r>
  <r>
    <x v="36"/>
    <x v="4"/>
    <n v="46"/>
    <n v="38"/>
    <n v="37"/>
    <n v="1"/>
    <n v="5"/>
  </r>
  <r>
    <x v="36"/>
    <x v="5"/>
    <n v="92"/>
    <n v="92"/>
    <n v="92"/>
    <n v="0"/>
    <n v="0"/>
  </r>
  <r>
    <x v="36"/>
    <x v="5"/>
    <n v="65"/>
    <n v="60"/>
    <n v="53"/>
    <n v="7"/>
    <n v="4"/>
  </r>
  <r>
    <x v="36"/>
    <x v="6"/>
    <n v="10"/>
    <n v="10"/>
    <n v="10"/>
    <n v="0"/>
    <n v="0"/>
  </r>
  <r>
    <x v="36"/>
    <x v="6"/>
    <n v="21"/>
    <n v="21"/>
    <n v="21"/>
    <n v="0"/>
    <n v="0"/>
  </r>
  <r>
    <x v="36"/>
    <x v="8"/>
    <n v="96"/>
    <n v="95"/>
    <n v="82"/>
    <n v="13"/>
    <n v="1"/>
  </r>
  <r>
    <x v="36"/>
    <x v="8"/>
    <n v="57"/>
    <n v="56"/>
    <n v="44"/>
    <n v="12"/>
    <n v="0"/>
  </r>
  <r>
    <x v="36"/>
    <x v="9"/>
    <n v="78"/>
    <n v="78"/>
    <n v="71"/>
    <n v="7"/>
    <n v="0"/>
  </r>
  <r>
    <x v="36"/>
    <x v="9"/>
    <n v="30"/>
    <n v="27"/>
    <n v="25"/>
    <n v="2"/>
    <n v="0"/>
  </r>
  <r>
    <x v="36"/>
    <x v="10"/>
    <n v="120"/>
    <n v="120"/>
    <n v="115"/>
    <n v="5"/>
    <n v="0"/>
  </r>
  <r>
    <x v="36"/>
    <x v="10"/>
    <n v="80"/>
    <n v="79"/>
    <n v="70"/>
    <n v="9"/>
    <n v="1"/>
  </r>
  <r>
    <x v="36"/>
    <x v="11"/>
    <n v="9"/>
    <n v="9"/>
    <n v="9"/>
    <n v="0"/>
    <n v="0"/>
  </r>
  <r>
    <x v="36"/>
    <x v="11"/>
    <n v="29"/>
    <n v="28"/>
    <n v="27"/>
    <n v="1"/>
    <n v="0"/>
  </r>
  <r>
    <x v="37"/>
    <x v="16"/>
    <n v="2"/>
    <n v="0"/>
    <n v="0"/>
    <n v="0"/>
    <n v="0"/>
  </r>
  <r>
    <x v="37"/>
    <x v="2"/>
    <n v="3"/>
    <n v="3"/>
    <n v="3"/>
    <n v="0"/>
    <n v="0"/>
  </r>
  <r>
    <x v="37"/>
    <x v="2"/>
    <n v="8"/>
    <n v="8"/>
    <n v="5"/>
    <n v="3"/>
    <n v="0"/>
  </r>
  <r>
    <x v="37"/>
    <x v="3"/>
    <n v="3"/>
    <n v="3"/>
    <n v="2"/>
    <n v="1"/>
    <n v="0"/>
  </r>
  <r>
    <x v="37"/>
    <x v="3"/>
    <n v="4"/>
    <n v="4"/>
    <n v="3"/>
    <n v="1"/>
    <n v="0"/>
  </r>
  <r>
    <x v="37"/>
    <x v="4"/>
    <n v="13"/>
    <n v="12"/>
    <n v="12"/>
    <n v="0"/>
    <n v="0"/>
  </r>
  <r>
    <x v="37"/>
    <x v="4"/>
    <n v="5"/>
    <n v="5"/>
    <n v="4"/>
    <n v="1"/>
    <n v="0"/>
  </r>
  <r>
    <x v="37"/>
    <x v="5"/>
    <n v="7"/>
    <n v="7"/>
    <n v="6"/>
    <n v="1"/>
    <n v="0"/>
  </r>
  <r>
    <x v="37"/>
    <x v="5"/>
    <n v="9"/>
    <n v="9"/>
    <n v="7"/>
    <n v="2"/>
    <n v="0"/>
  </r>
  <r>
    <x v="37"/>
    <x v="6"/>
    <n v="3"/>
    <n v="3"/>
    <n v="3"/>
    <n v="0"/>
    <n v="0"/>
  </r>
  <r>
    <x v="37"/>
    <x v="7"/>
    <n v="1"/>
    <n v="1"/>
    <n v="0"/>
    <n v="1"/>
    <n v="0"/>
  </r>
  <r>
    <x v="37"/>
    <x v="8"/>
    <n v="2"/>
    <n v="2"/>
    <n v="1"/>
    <n v="1"/>
    <n v="0"/>
  </r>
  <r>
    <x v="37"/>
    <x v="8"/>
    <n v="5"/>
    <n v="4"/>
    <n v="1"/>
    <n v="3"/>
    <n v="0"/>
  </r>
  <r>
    <x v="37"/>
    <x v="9"/>
    <n v="2"/>
    <n v="2"/>
    <n v="2"/>
    <n v="0"/>
    <n v="0"/>
  </r>
  <r>
    <x v="37"/>
    <x v="10"/>
    <n v="16"/>
    <n v="16"/>
    <n v="11"/>
    <n v="5"/>
    <n v="0"/>
  </r>
  <r>
    <x v="37"/>
    <x v="10"/>
    <n v="9"/>
    <n v="9"/>
    <n v="7"/>
    <n v="2"/>
    <n v="0"/>
  </r>
  <r>
    <x v="37"/>
    <x v="11"/>
    <n v="1"/>
    <n v="1"/>
    <n v="1"/>
    <n v="0"/>
    <n v="0"/>
  </r>
  <r>
    <x v="37"/>
    <x v="11"/>
    <n v="2"/>
    <n v="2"/>
    <n v="2"/>
    <n v="0"/>
    <n v="0"/>
  </r>
  <r>
    <x v="38"/>
    <x v="14"/>
    <n v="1"/>
    <n v="1"/>
    <n v="0"/>
    <n v="1"/>
    <n v="0"/>
  </r>
  <r>
    <x v="38"/>
    <x v="0"/>
    <n v="3"/>
    <n v="3"/>
    <n v="3"/>
    <n v="0"/>
    <n v="0"/>
  </r>
  <r>
    <x v="38"/>
    <x v="0"/>
    <n v="1"/>
    <n v="1"/>
    <n v="1"/>
    <n v="0"/>
    <n v="0"/>
  </r>
  <r>
    <x v="38"/>
    <x v="12"/>
    <n v="2"/>
    <n v="0"/>
    <n v="0"/>
    <n v="0"/>
    <n v="0"/>
  </r>
  <r>
    <x v="38"/>
    <x v="2"/>
    <n v="2"/>
    <n v="2"/>
    <n v="2"/>
    <n v="0"/>
    <n v="0"/>
  </r>
  <r>
    <x v="38"/>
    <x v="2"/>
    <n v="2"/>
    <n v="2"/>
    <n v="2"/>
    <n v="0"/>
    <n v="0"/>
  </r>
  <r>
    <x v="38"/>
    <x v="3"/>
    <n v="30"/>
    <n v="30"/>
    <n v="26"/>
    <n v="4"/>
    <n v="0"/>
  </r>
  <r>
    <x v="38"/>
    <x v="3"/>
    <n v="14"/>
    <n v="14"/>
    <n v="12"/>
    <n v="2"/>
    <n v="0"/>
  </r>
  <r>
    <x v="38"/>
    <x v="4"/>
    <n v="31"/>
    <n v="30"/>
    <n v="26"/>
    <n v="4"/>
    <n v="1"/>
  </r>
  <r>
    <x v="38"/>
    <x v="4"/>
    <n v="23"/>
    <n v="20"/>
    <n v="16"/>
    <n v="4"/>
    <n v="0"/>
  </r>
  <r>
    <x v="38"/>
    <x v="5"/>
    <n v="37"/>
    <n v="37"/>
    <n v="35"/>
    <n v="2"/>
    <n v="0"/>
  </r>
  <r>
    <x v="38"/>
    <x v="5"/>
    <n v="20"/>
    <n v="19"/>
    <n v="16"/>
    <n v="3"/>
    <n v="1"/>
  </r>
  <r>
    <x v="38"/>
    <x v="6"/>
    <n v="5"/>
    <n v="5"/>
    <n v="5"/>
    <n v="0"/>
    <n v="0"/>
  </r>
  <r>
    <x v="38"/>
    <x v="6"/>
    <n v="4"/>
    <n v="3"/>
    <n v="3"/>
    <n v="0"/>
    <n v="0"/>
  </r>
  <r>
    <x v="38"/>
    <x v="8"/>
    <n v="8"/>
    <n v="8"/>
    <n v="7"/>
    <n v="1"/>
    <n v="0"/>
  </r>
  <r>
    <x v="38"/>
    <x v="8"/>
    <n v="6"/>
    <n v="6"/>
    <n v="4"/>
    <n v="2"/>
    <n v="0"/>
  </r>
  <r>
    <x v="38"/>
    <x v="9"/>
    <n v="3"/>
    <n v="3"/>
    <n v="3"/>
    <n v="0"/>
    <n v="0"/>
  </r>
  <r>
    <x v="38"/>
    <x v="10"/>
    <n v="23"/>
    <n v="23"/>
    <n v="21"/>
    <n v="2"/>
    <n v="0"/>
  </r>
  <r>
    <x v="38"/>
    <x v="10"/>
    <n v="20"/>
    <n v="20"/>
    <n v="15"/>
    <n v="5"/>
    <n v="0"/>
  </r>
  <r>
    <x v="38"/>
    <x v="11"/>
    <n v="2"/>
    <n v="1"/>
    <n v="1"/>
    <n v="0"/>
    <n v="0"/>
  </r>
  <r>
    <x v="39"/>
    <x v="0"/>
    <n v="1"/>
    <n v="1"/>
    <n v="1"/>
    <n v="0"/>
    <n v="0"/>
  </r>
  <r>
    <x v="39"/>
    <x v="2"/>
    <n v="11"/>
    <n v="11"/>
    <n v="10"/>
    <n v="1"/>
    <n v="0"/>
  </r>
  <r>
    <x v="39"/>
    <x v="2"/>
    <n v="15"/>
    <n v="15"/>
    <n v="15"/>
    <n v="0"/>
    <n v="0"/>
  </r>
  <r>
    <x v="39"/>
    <x v="3"/>
    <n v="33"/>
    <n v="32"/>
    <n v="23"/>
    <n v="9"/>
    <n v="0"/>
  </r>
  <r>
    <x v="39"/>
    <x v="3"/>
    <n v="13"/>
    <n v="13"/>
    <n v="7"/>
    <n v="6"/>
    <n v="0"/>
  </r>
  <r>
    <x v="39"/>
    <x v="4"/>
    <n v="36"/>
    <n v="31"/>
    <n v="26"/>
    <n v="5"/>
    <n v="0"/>
  </r>
  <r>
    <x v="39"/>
    <x v="4"/>
    <n v="28"/>
    <n v="26"/>
    <n v="20"/>
    <n v="6"/>
    <n v="0"/>
  </r>
  <r>
    <x v="39"/>
    <x v="5"/>
    <n v="61"/>
    <n v="57"/>
    <n v="45"/>
    <n v="12"/>
    <n v="0"/>
  </r>
  <r>
    <x v="39"/>
    <x v="5"/>
    <n v="31"/>
    <n v="31"/>
    <n v="22"/>
    <n v="9"/>
    <n v="0"/>
  </r>
  <r>
    <x v="39"/>
    <x v="6"/>
    <n v="21"/>
    <n v="20"/>
    <n v="20"/>
    <n v="0"/>
    <n v="0"/>
  </r>
  <r>
    <x v="39"/>
    <x v="6"/>
    <n v="3"/>
    <n v="3"/>
    <n v="3"/>
    <n v="0"/>
    <n v="0"/>
  </r>
  <r>
    <x v="39"/>
    <x v="8"/>
    <n v="8"/>
    <n v="8"/>
    <n v="5"/>
    <n v="3"/>
    <n v="0"/>
  </r>
  <r>
    <x v="39"/>
    <x v="8"/>
    <n v="5"/>
    <n v="5"/>
    <n v="4"/>
    <n v="1"/>
    <n v="0"/>
  </r>
  <r>
    <x v="39"/>
    <x v="9"/>
    <n v="3"/>
    <n v="3"/>
    <n v="2"/>
    <n v="1"/>
    <n v="0"/>
  </r>
  <r>
    <x v="39"/>
    <x v="9"/>
    <n v="3"/>
    <n v="2"/>
    <n v="1"/>
    <n v="1"/>
    <n v="0"/>
  </r>
  <r>
    <x v="39"/>
    <x v="10"/>
    <n v="52"/>
    <n v="52"/>
    <n v="46"/>
    <n v="6"/>
    <n v="0"/>
  </r>
  <r>
    <x v="39"/>
    <x v="10"/>
    <n v="28"/>
    <n v="28"/>
    <n v="17"/>
    <n v="11"/>
    <n v="0"/>
  </r>
  <r>
    <x v="39"/>
    <x v="11"/>
    <n v="13"/>
    <n v="13"/>
    <n v="13"/>
    <n v="0"/>
    <n v="0"/>
  </r>
  <r>
    <x v="39"/>
    <x v="11"/>
    <n v="10"/>
    <n v="10"/>
    <n v="10"/>
    <n v="0"/>
    <n v="0"/>
  </r>
  <r>
    <x v="40"/>
    <x v="0"/>
    <n v="3"/>
    <n v="1"/>
    <n v="1"/>
    <n v="0"/>
    <n v="0"/>
  </r>
  <r>
    <x v="40"/>
    <x v="0"/>
    <n v="1"/>
    <n v="1"/>
    <n v="1"/>
    <n v="0"/>
    <n v="0"/>
  </r>
  <r>
    <x v="40"/>
    <x v="2"/>
    <n v="5"/>
    <n v="5"/>
    <n v="5"/>
    <n v="0"/>
    <n v="0"/>
  </r>
  <r>
    <x v="40"/>
    <x v="2"/>
    <n v="1"/>
    <n v="1"/>
    <n v="1"/>
    <n v="0"/>
    <n v="0"/>
  </r>
  <r>
    <x v="40"/>
    <x v="3"/>
    <n v="4"/>
    <n v="4"/>
    <n v="4"/>
    <n v="0"/>
    <n v="0"/>
  </r>
  <r>
    <x v="40"/>
    <x v="3"/>
    <n v="2"/>
    <n v="2"/>
    <n v="2"/>
    <n v="0"/>
    <n v="0"/>
  </r>
  <r>
    <x v="40"/>
    <x v="4"/>
    <n v="8"/>
    <n v="8"/>
    <n v="7"/>
    <n v="1"/>
    <n v="0"/>
  </r>
  <r>
    <x v="40"/>
    <x v="4"/>
    <n v="4"/>
    <n v="3"/>
    <n v="3"/>
    <n v="0"/>
    <n v="0"/>
  </r>
  <r>
    <x v="40"/>
    <x v="5"/>
    <n v="4"/>
    <n v="4"/>
    <n v="3"/>
    <n v="1"/>
    <n v="0"/>
  </r>
  <r>
    <x v="40"/>
    <x v="5"/>
    <n v="2"/>
    <n v="2"/>
    <n v="2"/>
    <n v="0"/>
    <n v="0"/>
  </r>
  <r>
    <x v="40"/>
    <x v="6"/>
    <n v="1"/>
    <n v="1"/>
    <n v="1"/>
    <n v="0"/>
    <n v="0"/>
  </r>
  <r>
    <x v="40"/>
    <x v="8"/>
    <n v="1"/>
    <n v="1"/>
    <n v="1"/>
    <n v="0"/>
    <n v="0"/>
  </r>
  <r>
    <x v="40"/>
    <x v="10"/>
    <n v="3"/>
    <n v="3"/>
    <n v="3"/>
    <n v="0"/>
    <n v="0"/>
  </r>
  <r>
    <x v="41"/>
    <x v="0"/>
    <n v="1"/>
    <n v="1"/>
    <n v="0"/>
    <n v="1"/>
    <n v="0"/>
  </r>
  <r>
    <x v="41"/>
    <x v="0"/>
    <n v="3"/>
    <n v="1"/>
    <n v="0"/>
    <n v="1"/>
    <n v="0"/>
  </r>
  <r>
    <x v="41"/>
    <x v="12"/>
    <n v="7"/>
    <n v="0"/>
    <n v="0"/>
    <n v="0"/>
    <n v="0"/>
  </r>
  <r>
    <x v="41"/>
    <x v="2"/>
    <n v="13"/>
    <n v="13"/>
    <n v="12"/>
    <n v="1"/>
    <n v="0"/>
  </r>
  <r>
    <x v="41"/>
    <x v="2"/>
    <n v="2"/>
    <n v="2"/>
    <n v="2"/>
    <n v="0"/>
    <n v="0"/>
  </r>
  <r>
    <x v="41"/>
    <x v="3"/>
    <n v="33"/>
    <n v="33"/>
    <n v="19"/>
    <n v="14"/>
    <n v="0"/>
  </r>
  <r>
    <x v="41"/>
    <x v="3"/>
    <n v="11"/>
    <n v="11"/>
    <n v="5"/>
    <n v="6"/>
    <n v="0"/>
  </r>
  <r>
    <x v="41"/>
    <x v="4"/>
    <n v="50"/>
    <n v="47"/>
    <n v="34"/>
    <n v="13"/>
    <n v="0"/>
  </r>
  <r>
    <x v="41"/>
    <x v="4"/>
    <n v="28"/>
    <n v="26"/>
    <n v="16"/>
    <n v="10"/>
    <n v="0"/>
  </r>
  <r>
    <x v="41"/>
    <x v="5"/>
    <n v="28"/>
    <n v="27"/>
    <n v="17"/>
    <n v="10"/>
    <n v="0"/>
  </r>
  <r>
    <x v="41"/>
    <x v="5"/>
    <n v="12"/>
    <n v="12"/>
    <n v="11"/>
    <n v="1"/>
    <n v="0"/>
  </r>
  <r>
    <x v="41"/>
    <x v="6"/>
    <n v="34"/>
    <n v="34"/>
    <n v="32"/>
    <n v="2"/>
    <n v="0"/>
  </r>
  <r>
    <x v="41"/>
    <x v="6"/>
    <n v="13"/>
    <n v="10"/>
    <n v="10"/>
    <n v="0"/>
    <n v="0"/>
  </r>
  <r>
    <x v="41"/>
    <x v="7"/>
    <n v="1"/>
    <n v="1"/>
    <n v="0"/>
    <n v="1"/>
    <n v="0"/>
  </r>
  <r>
    <x v="41"/>
    <x v="8"/>
    <n v="15"/>
    <n v="15"/>
    <n v="12"/>
    <n v="3"/>
    <n v="0"/>
  </r>
  <r>
    <x v="41"/>
    <x v="8"/>
    <n v="8"/>
    <n v="8"/>
    <n v="5"/>
    <n v="3"/>
    <n v="0"/>
  </r>
  <r>
    <x v="41"/>
    <x v="9"/>
    <n v="13"/>
    <n v="13"/>
    <n v="10"/>
    <n v="3"/>
    <n v="0"/>
  </r>
  <r>
    <x v="41"/>
    <x v="10"/>
    <n v="32"/>
    <n v="32"/>
    <n v="19"/>
    <n v="13"/>
    <n v="0"/>
  </r>
  <r>
    <x v="41"/>
    <x v="10"/>
    <n v="21"/>
    <n v="21"/>
    <n v="16"/>
    <n v="5"/>
    <n v="0"/>
  </r>
  <r>
    <x v="41"/>
    <x v="11"/>
    <n v="12"/>
    <n v="11"/>
    <n v="11"/>
    <n v="0"/>
    <n v="1"/>
  </r>
  <r>
    <x v="41"/>
    <x v="11"/>
    <n v="2"/>
    <n v="2"/>
    <n v="2"/>
    <n v="0"/>
    <n v="0"/>
  </r>
  <r>
    <x v="42"/>
    <x v="0"/>
    <n v="1"/>
    <n v="1"/>
    <n v="1"/>
    <n v="0"/>
    <n v="0"/>
  </r>
  <r>
    <x v="42"/>
    <x v="12"/>
    <n v="2"/>
    <n v="0"/>
    <n v="0"/>
    <n v="0"/>
    <n v="0"/>
  </r>
  <r>
    <x v="42"/>
    <x v="12"/>
    <n v="1"/>
    <n v="0"/>
    <n v="0"/>
    <n v="0"/>
    <n v="0"/>
  </r>
  <r>
    <x v="42"/>
    <x v="2"/>
    <n v="8"/>
    <n v="8"/>
    <n v="7"/>
    <n v="1"/>
    <n v="0"/>
  </r>
  <r>
    <x v="42"/>
    <x v="2"/>
    <n v="9"/>
    <n v="9"/>
    <n v="8"/>
    <n v="1"/>
    <n v="0"/>
  </r>
  <r>
    <x v="42"/>
    <x v="3"/>
    <n v="38"/>
    <n v="38"/>
    <n v="33"/>
    <n v="5"/>
    <n v="0"/>
  </r>
  <r>
    <x v="42"/>
    <x v="3"/>
    <n v="33"/>
    <n v="33"/>
    <n v="32"/>
    <n v="1"/>
    <n v="0"/>
  </r>
  <r>
    <x v="42"/>
    <x v="4"/>
    <n v="34"/>
    <n v="34"/>
    <n v="25"/>
    <n v="9"/>
    <n v="0"/>
  </r>
  <r>
    <x v="42"/>
    <x v="4"/>
    <n v="50"/>
    <n v="50"/>
    <n v="44"/>
    <n v="6"/>
    <n v="0"/>
  </r>
  <r>
    <x v="42"/>
    <x v="5"/>
    <n v="42"/>
    <n v="42"/>
    <n v="41"/>
    <n v="1"/>
    <n v="0"/>
  </r>
  <r>
    <x v="42"/>
    <x v="5"/>
    <n v="69"/>
    <n v="69"/>
    <n v="63"/>
    <n v="6"/>
    <n v="0"/>
  </r>
  <r>
    <x v="42"/>
    <x v="6"/>
    <n v="2"/>
    <n v="2"/>
    <n v="2"/>
    <n v="0"/>
    <n v="0"/>
  </r>
  <r>
    <x v="42"/>
    <x v="6"/>
    <n v="1"/>
    <n v="1"/>
    <n v="1"/>
    <n v="0"/>
    <n v="0"/>
  </r>
  <r>
    <x v="42"/>
    <x v="8"/>
    <n v="1"/>
    <n v="1"/>
    <n v="0"/>
    <n v="1"/>
    <n v="0"/>
  </r>
  <r>
    <x v="42"/>
    <x v="10"/>
    <n v="75"/>
    <n v="75"/>
    <n v="74"/>
    <n v="1"/>
    <n v="0"/>
  </r>
  <r>
    <x v="42"/>
    <x v="10"/>
    <n v="82"/>
    <n v="82"/>
    <n v="80"/>
    <n v="2"/>
    <n v="0"/>
  </r>
  <r>
    <x v="42"/>
    <x v="11"/>
    <n v="5"/>
    <n v="5"/>
    <n v="5"/>
    <n v="0"/>
    <n v="0"/>
  </r>
  <r>
    <x v="42"/>
    <x v="11"/>
    <n v="5"/>
    <n v="5"/>
    <n v="5"/>
    <n v="0"/>
    <n v="0"/>
  </r>
  <r>
    <x v="43"/>
    <x v="0"/>
    <n v="1"/>
    <n v="1"/>
    <n v="1"/>
    <n v="0"/>
    <n v="0"/>
  </r>
  <r>
    <x v="43"/>
    <x v="2"/>
    <n v="3"/>
    <n v="2"/>
    <n v="1"/>
    <n v="1"/>
    <n v="0"/>
  </r>
  <r>
    <x v="43"/>
    <x v="3"/>
    <n v="15"/>
    <n v="15"/>
    <n v="14"/>
    <n v="1"/>
    <n v="0"/>
  </r>
  <r>
    <x v="43"/>
    <x v="3"/>
    <n v="14"/>
    <n v="14"/>
    <n v="13"/>
    <n v="1"/>
    <n v="0"/>
  </r>
  <r>
    <x v="43"/>
    <x v="4"/>
    <n v="48"/>
    <n v="46"/>
    <n v="40"/>
    <n v="6"/>
    <n v="0"/>
  </r>
  <r>
    <x v="43"/>
    <x v="4"/>
    <n v="30"/>
    <n v="30"/>
    <n v="27"/>
    <n v="3"/>
    <n v="0"/>
  </r>
  <r>
    <x v="43"/>
    <x v="5"/>
    <n v="31"/>
    <n v="30"/>
    <n v="27"/>
    <n v="3"/>
    <n v="0"/>
  </r>
  <r>
    <x v="43"/>
    <x v="5"/>
    <n v="25"/>
    <n v="25"/>
    <n v="23"/>
    <n v="2"/>
    <n v="0"/>
  </r>
  <r>
    <x v="43"/>
    <x v="6"/>
    <n v="1"/>
    <n v="1"/>
    <n v="1"/>
    <n v="0"/>
    <n v="0"/>
  </r>
  <r>
    <x v="43"/>
    <x v="6"/>
    <n v="5"/>
    <n v="5"/>
    <n v="5"/>
    <n v="0"/>
    <n v="0"/>
  </r>
  <r>
    <x v="43"/>
    <x v="8"/>
    <n v="4"/>
    <n v="4"/>
    <n v="4"/>
    <n v="0"/>
    <n v="0"/>
  </r>
  <r>
    <x v="43"/>
    <x v="8"/>
    <n v="7"/>
    <n v="7"/>
    <n v="4"/>
    <n v="3"/>
    <n v="0"/>
  </r>
  <r>
    <x v="43"/>
    <x v="9"/>
    <n v="6"/>
    <n v="6"/>
    <n v="6"/>
    <n v="0"/>
    <n v="0"/>
  </r>
  <r>
    <x v="43"/>
    <x v="9"/>
    <n v="1"/>
    <n v="1"/>
    <n v="1"/>
    <n v="0"/>
    <n v="0"/>
  </r>
  <r>
    <x v="43"/>
    <x v="10"/>
    <n v="25"/>
    <n v="25"/>
    <n v="25"/>
    <n v="0"/>
    <n v="0"/>
  </r>
  <r>
    <x v="43"/>
    <x v="10"/>
    <n v="25"/>
    <n v="25"/>
    <n v="23"/>
    <n v="2"/>
    <n v="0"/>
  </r>
  <r>
    <x v="44"/>
    <x v="0"/>
    <n v="11"/>
    <n v="7"/>
    <n v="6"/>
    <n v="1"/>
    <n v="1"/>
  </r>
  <r>
    <x v="44"/>
    <x v="0"/>
    <n v="4"/>
    <n v="3"/>
    <n v="3"/>
    <n v="0"/>
    <n v="0"/>
  </r>
  <r>
    <x v="44"/>
    <x v="2"/>
    <n v="20"/>
    <n v="19"/>
    <n v="19"/>
    <n v="0"/>
    <n v="0"/>
  </r>
  <r>
    <x v="44"/>
    <x v="2"/>
    <n v="18"/>
    <n v="17"/>
    <n v="15"/>
    <n v="2"/>
    <n v="0"/>
  </r>
  <r>
    <x v="44"/>
    <x v="3"/>
    <n v="78"/>
    <n v="77"/>
    <n v="67"/>
    <n v="10"/>
    <n v="0"/>
  </r>
  <r>
    <x v="44"/>
    <x v="3"/>
    <n v="58"/>
    <n v="56"/>
    <n v="45"/>
    <n v="11"/>
    <n v="0"/>
  </r>
  <r>
    <x v="44"/>
    <x v="4"/>
    <n v="110"/>
    <n v="107"/>
    <n v="99"/>
    <n v="8"/>
    <n v="1"/>
  </r>
  <r>
    <x v="44"/>
    <x v="4"/>
    <n v="89"/>
    <n v="85"/>
    <n v="73"/>
    <n v="12"/>
    <n v="0"/>
  </r>
  <r>
    <x v="44"/>
    <x v="13"/>
    <n v="1"/>
    <n v="1"/>
    <n v="1"/>
    <n v="0"/>
    <n v="0"/>
  </r>
  <r>
    <x v="44"/>
    <x v="5"/>
    <n v="164"/>
    <n v="161"/>
    <n v="139"/>
    <n v="22"/>
    <n v="0"/>
  </r>
  <r>
    <x v="44"/>
    <x v="5"/>
    <n v="87"/>
    <n v="84"/>
    <n v="80"/>
    <n v="4"/>
    <n v="1"/>
  </r>
  <r>
    <x v="44"/>
    <x v="6"/>
    <n v="63"/>
    <n v="63"/>
    <n v="61"/>
    <n v="2"/>
    <n v="0"/>
  </r>
  <r>
    <x v="44"/>
    <x v="6"/>
    <n v="14"/>
    <n v="14"/>
    <n v="14"/>
    <n v="0"/>
    <n v="0"/>
  </r>
  <r>
    <x v="44"/>
    <x v="8"/>
    <n v="31"/>
    <n v="27"/>
    <n v="24"/>
    <n v="3"/>
    <n v="0"/>
  </r>
  <r>
    <x v="44"/>
    <x v="8"/>
    <n v="23"/>
    <n v="21"/>
    <n v="17"/>
    <n v="4"/>
    <n v="0"/>
  </r>
  <r>
    <x v="44"/>
    <x v="9"/>
    <n v="21"/>
    <n v="21"/>
    <n v="21"/>
    <n v="0"/>
    <n v="0"/>
  </r>
  <r>
    <x v="44"/>
    <x v="10"/>
    <n v="96"/>
    <n v="96"/>
    <n v="79"/>
    <n v="17"/>
    <n v="0"/>
  </r>
  <r>
    <x v="44"/>
    <x v="10"/>
    <n v="61"/>
    <n v="61"/>
    <n v="47"/>
    <n v="14"/>
    <n v="0"/>
  </r>
  <r>
    <x v="44"/>
    <x v="11"/>
    <n v="10"/>
    <n v="10"/>
    <n v="10"/>
    <n v="0"/>
    <n v="0"/>
  </r>
  <r>
    <x v="44"/>
    <x v="11"/>
    <n v="5"/>
    <n v="5"/>
    <n v="2"/>
    <n v="3"/>
    <n v="0"/>
  </r>
  <r>
    <x v="45"/>
    <x v="0"/>
    <n v="2"/>
    <n v="2"/>
    <n v="2"/>
    <n v="0"/>
    <n v="0"/>
  </r>
  <r>
    <x v="45"/>
    <x v="0"/>
    <n v="2"/>
    <n v="2"/>
    <n v="2"/>
    <n v="0"/>
    <n v="0"/>
  </r>
  <r>
    <x v="45"/>
    <x v="1"/>
    <n v="1"/>
    <n v="0"/>
    <n v="0"/>
    <n v="0"/>
    <n v="0"/>
  </r>
  <r>
    <x v="45"/>
    <x v="12"/>
    <n v="1"/>
    <n v="0"/>
    <n v="0"/>
    <n v="0"/>
    <n v="0"/>
  </r>
  <r>
    <x v="45"/>
    <x v="2"/>
    <n v="41"/>
    <n v="40"/>
    <n v="32"/>
    <n v="8"/>
    <n v="0"/>
  </r>
  <r>
    <x v="45"/>
    <x v="2"/>
    <n v="11"/>
    <n v="10"/>
    <n v="9"/>
    <n v="1"/>
    <n v="0"/>
  </r>
  <r>
    <x v="45"/>
    <x v="3"/>
    <n v="72"/>
    <n v="72"/>
    <n v="59"/>
    <n v="13"/>
    <n v="0"/>
  </r>
  <r>
    <x v="45"/>
    <x v="3"/>
    <n v="53"/>
    <n v="52"/>
    <n v="50"/>
    <n v="2"/>
    <n v="0"/>
  </r>
  <r>
    <x v="45"/>
    <x v="4"/>
    <n v="62"/>
    <n v="61"/>
    <n v="58"/>
    <n v="3"/>
    <n v="0"/>
  </r>
  <r>
    <x v="45"/>
    <x v="4"/>
    <n v="82"/>
    <n v="79"/>
    <n v="76"/>
    <n v="3"/>
    <n v="1"/>
  </r>
  <r>
    <x v="45"/>
    <x v="5"/>
    <n v="102"/>
    <n v="102"/>
    <n v="86"/>
    <n v="16"/>
    <n v="0"/>
  </r>
  <r>
    <x v="45"/>
    <x v="5"/>
    <n v="111"/>
    <n v="111"/>
    <n v="103"/>
    <n v="8"/>
    <n v="0"/>
  </r>
  <r>
    <x v="45"/>
    <x v="6"/>
    <n v="6"/>
    <n v="6"/>
    <n v="6"/>
    <n v="0"/>
    <n v="0"/>
  </r>
  <r>
    <x v="45"/>
    <x v="6"/>
    <n v="11"/>
    <n v="11"/>
    <n v="11"/>
    <n v="0"/>
    <n v="0"/>
  </r>
  <r>
    <x v="45"/>
    <x v="7"/>
    <n v="11"/>
    <n v="11"/>
    <n v="10"/>
    <n v="1"/>
    <n v="0"/>
  </r>
  <r>
    <x v="45"/>
    <x v="7"/>
    <n v="1"/>
    <n v="1"/>
    <n v="1"/>
    <n v="0"/>
    <n v="0"/>
  </r>
  <r>
    <x v="45"/>
    <x v="8"/>
    <n v="28"/>
    <n v="28"/>
    <n v="24"/>
    <n v="4"/>
    <n v="0"/>
  </r>
  <r>
    <x v="45"/>
    <x v="8"/>
    <n v="25"/>
    <n v="23"/>
    <n v="23"/>
    <n v="0"/>
    <n v="0"/>
  </r>
  <r>
    <x v="45"/>
    <x v="9"/>
    <n v="16"/>
    <n v="16"/>
    <n v="15"/>
    <n v="1"/>
    <n v="0"/>
  </r>
  <r>
    <x v="45"/>
    <x v="9"/>
    <n v="7"/>
    <n v="7"/>
    <n v="6"/>
    <n v="1"/>
    <n v="0"/>
  </r>
  <r>
    <x v="45"/>
    <x v="10"/>
    <n v="76"/>
    <n v="76"/>
    <n v="71"/>
    <n v="5"/>
    <n v="0"/>
  </r>
  <r>
    <x v="45"/>
    <x v="10"/>
    <n v="67"/>
    <n v="67"/>
    <n v="63"/>
    <n v="4"/>
    <n v="0"/>
  </r>
  <r>
    <x v="45"/>
    <x v="11"/>
    <n v="36"/>
    <n v="36"/>
    <n v="24"/>
    <n v="12"/>
    <n v="0"/>
  </r>
  <r>
    <x v="45"/>
    <x v="11"/>
    <n v="8"/>
    <n v="8"/>
    <n v="7"/>
    <n v="1"/>
    <n v="0"/>
  </r>
  <r>
    <x v="46"/>
    <x v="0"/>
    <n v="1"/>
    <n v="1"/>
    <n v="1"/>
    <n v="0"/>
    <n v="0"/>
  </r>
  <r>
    <x v="46"/>
    <x v="2"/>
    <n v="5"/>
    <n v="5"/>
    <n v="5"/>
    <n v="0"/>
    <n v="0"/>
  </r>
  <r>
    <x v="46"/>
    <x v="2"/>
    <n v="3"/>
    <n v="3"/>
    <n v="3"/>
    <n v="0"/>
    <n v="0"/>
  </r>
  <r>
    <x v="46"/>
    <x v="3"/>
    <n v="11"/>
    <n v="11"/>
    <n v="11"/>
    <n v="0"/>
    <n v="0"/>
  </r>
  <r>
    <x v="46"/>
    <x v="3"/>
    <n v="5"/>
    <n v="5"/>
    <n v="5"/>
    <n v="0"/>
    <n v="0"/>
  </r>
  <r>
    <x v="46"/>
    <x v="4"/>
    <n v="16"/>
    <n v="16"/>
    <n v="14"/>
    <n v="2"/>
    <n v="0"/>
  </r>
  <r>
    <x v="46"/>
    <x v="4"/>
    <n v="9"/>
    <n v="9"/>
    <n v="8"/>
    <n v="1"/>
    <n v="0"/>
  </r>
  <r>
    <x v="46"/>
    <x v="5"/>
    <n v="27"/>
    <n v="27"/>
    <n v="27"/>
    <n v="0"/>
    <n v="0"/>
  </r>
  <r>
    <x v="46"/>
    <x v="5"/>
    <n v="10"/>
    <n v="10"/>
    <n v="10"/>
    <n v="0"/>
    <n v="0"/>
  </r>
  <r>
    <x v="46"/>
    <x v="6"/>
    <n v="11"/>
    <n v="11"/>
    <n v="11"/>
    <n v="0"/>
    <n v="0"/>
  </r>
  <r>
    <x v="46"/>
    <x v="6"/>
    <n v="2"/>
    <n v="2"/>
    <n v="2"/>
    <n v="0"/>
    <n v="0"/>
  </r>
  <r>
    <x v="46"/>
    <x v="8"/>
    <n v="5"/>
    <n v="5"/>
    <n v="5"/>
    <n v="0"/>
    <n v="0"/>
  </r>
  <r>
    <x v="46"/>
    <x v="8"/>
    <n v="4"/>
    <n v="4"/>
    <n v="4"/>
    <n v="0"/>
    <n v="0"/>
  </r>
  <r>
    <x v="46"/>
    <x v="9"/>
    <n v="1"/>
    <n v="1"/>
    <n v="1"/>
    <n v="0"/>
    <n v="0"/>
  </r>
  <r>
    <x v="46"/>
    <x v="9"/>
    <n v="1"/>
    <n v="1"/>
    <n v="1"/>
    <n v="0"/>
    <n v="0"/>
  </r>
  <r>
    <x v="46"/>
    <x v="10"/>
    <n v="27"/>
    <n v="26"/>
    <n v="26"/>
    <n v="0"/>
    <n v="1"/>
  </r>
  <r>
    <x v="46"/>
    <x v="10"/>
    <n v="13"/>
    <n v="13"/>
    <n v="11"/>
    <n v="2"/>
    <n v="0"/>
  </r>
  <r>
    <x v="46"/>
    <x v="11"/>
    <n v="5"/>
    <n v="5"/>
    <n v="5"/>
    <n v="0"/>
    <n v="0"/>
  </r>
  <r>
    <x v="46"/>
    <x v="11"/>
    <n v="3"/>
    <n v="3"/>
    <n v="3"/>
    <n v="0"/>
    <n v="0"/>
  </r>
  <r>
    <x v="47"/>
    <x v="0"/>
    <n v="7"/>
    <n v="3"/>
    <n v="3"/>
    <n v="0"/>
    <n v="0"/>
  </r>
  <r>
    <x v="47"/>
    <x v="2"/>
    <n v="7"/>
    <n v="7"/>
    <n v="4"/>
    <n v="3"/>
    <n v="0"/>
  </r>
  <r>
    <x v="47"/>
    <x v="2"/>
    <n v="4"/>
    <n v="4"/>
    <n v="3"/>
    <n v="1"/>
    <n v="0"/>
  </r>
  <r>
    <x v="47"/>
    <x v="3"/>
    <n v="21"/>
    <n v="21"/>
    <n v="14"/>
    <n v="7"/>
    <n v="0"/>
  </r>
  <r>
    <x v="47"/>
    <x v="3"/>
    <n v="7"/>
    <n v="7"/>
    <n v="6"/>
    <n v="1"/>
    <n v="0"/>
  </r>
  <r>
    <x v="47"/>
    <x v="4"/>
    <n v="36"/>
    <n v="32"/>
    <n v="30"/>
    <n v="2"/>
    <n v="0"/>
  </r>
  <r>
    <x v="47"/>
    <x v="4"/>
    <n v="29"/>
    <n v="29"/>
    <n v="15"/>
    <n v="14"/>
    <n v="0"/>
  </r>
  <r>
    <x v="47"/>
    <x v="13"/>
    <n v="3"/>
    <n v="3"/>
    <n v="1"/>
    <n v="2"/>
    <n v="0"/>
  </r>
  <r>
    <x v="47"/>
    <x v="13"/>
    <n v="3"/>
    <n v="3"/>
    <n v="3"/>
    <n v="0"/>
    <n v="0"/>
  </r>
  <r>
    <x v="47"/>
    <x v="5"/>
    <n v="19"/>
    <n v="19"/>
    <n v="16"/>
    <n v="3"/>
    <n v="0"/>
  </r>
  <r>
    <x v="47"/>
    <x v="5"/>
    <n v="8"/>
    <n v="8"/>
    <n v="7"/>
    <n v="1"/>
    <n v="0"/>
  </r>
  <r>
    <x v="47"/>
    <x v="6"/>
    <n v="3"/>
    <n v="3"/>
    <n v="3"/>
    <n v="0"/>
    <n v="0"/>
  </r>
  <r>
    <x v="47"/>
    <x v="6"/>
    <n v="4"/>
    <n v="4"/>
    <n v="4"/>
    <n v="0"/>
    <n v="0"/>
  </r>
  <r>
    <x v="47"/>
    <x v="8"/>
    <n v="3"/>
    <n v="3"/>
    <n v="3"/>
    <n v="0"/>
    <n v="0"/>
  </r>
  <r>
    <x v="47"/>
    <x v="8"/>
    <n v="3"/>
    <n v="3"/>
    <n v="2"/>
    <n v="1"/>
    <n v="0"/>
  </r>
  <r>
    <x v="47"/>
    <x v="9"/>
    <n v="2"/>
    <n v="2"/>
    <n v="2"/>
    <n v="0"/>
    <n v="0"/>
  </r>
  <r>
    <x v="47"/>
    <x v="10"/>
    <n v="19"/>
    <n v="19"/>
    <n v="14"/>
    <n v="5"/>
    <n v="0"/>
  </r>
  <r>
    <x v="47"/>
    <x v="10"/>
    <n v="9"/>
    <n v="9"/>
    <n v="9"/>
    <n v="0"/>
    <n v="0"/>
  </r>
  <r>
    <x v="47"/>
    <x v="11"/>
    <n v="3"/>
    <n v="3"/>
    <n v="3"/>
    <n v="0"/>
    <n v="0"/>
  </r>
  <r>
    <x v="47"/>
    <x v="11"/>
    <n v="3"/>
    <n v="3"/>
    <n v="3"/>
    <n v="0"/>
    <n v="0"/>
  </r>
  <r>
    <x v="48"/>
    <x v="14"/>
    <n v="2"/>
    <n v="2"/>
    <n v="2"/>
    <n v="0"/>
    <n v="0"/>
  </r>
  <r>
    <x v="48"/>
    <x v="0"/>
    <n v="2"/>
    <n v="2"/>
    <n v="2"/>
    <n v="0"/>
    <n v="0"/>
  </r>
  <r>
    <x v="48"/>
    <x v="0"/>
    <n v="9"/>
    <n v="7"/>
    <n v="6"/>
    <n v="1"/>
    <n v="0"/>
  </r>
  <r>
    <x v="48"/>
    <x v="12"/>
    <n v="7"/>
    <n v="0"/>
    <n v="0"/>
    <n v="0"/>
    <n v="0"/>
  </r>
  <r>
    <x v="48"/>
    <x v="2"/>
    <n v="17"/>
    <n v="17"/>
    <n v="15"/>
    <n v="2"/>
    <n v="0"/>
  </r>
  <r>
    <x v="48"/>
    <x v="2"/>
    <n v="26"/>
    <n v="23"/>
    <n v="16"/>
    <n v="7"/>
    <n v="0"/>
  </r>
  <r>
    <x v="48"/>
    <x v="3"/>
    <n v="37"/>
    <n v="37"/>
    <n v="30"/>
    <n v="7"/>
    <n v="0"/>
  </r>
  <r>
    <x v="48"/>
    <x v="3"/>
    <n v="48"/>
    <n v="46"/>
    <n v="44"/>
    <n v="2"/>
    <n v="0"/>
  </r>
  <r>
    <x v="48"/>
    <x v="4"/>
    <n v="88"/>
    <n v="87"/>
    <n v="57"/>
    <n v="30"/>
    <n v="0"/>
  </r>
  <r>
    <x v="48"/>
    <x v="4"/>
    <n v="77"/>
    <n v="73"/>
    <n v="67"/>
    <n v="6"/>
    <n v="0"/>
  </r>
  <r>
    <x v="48"/>
    <x v="13"/>
    <n v="4"/>
    <n v="4"/>
    <n v="4"/>
    <n v="0"/>
    <n v="0"/>
  </r>
  <r>
    <x v="48"/>
    <x v="5"/>
    <n v="86"/>
    <n v="86"/>
    <n v="80"/>
    <n v="6"/>
    <n v="0"/>
  </r>
  <r>
    <x v="48"/>
    <x v="5"/>
    <n v="78"/>
    <n v="77"/>
    <n v="69"/>
    <n v="8"/>
    <n v="0"/>
  </r>
  <r>
    <x v="48"/>
    <x v="6"/>
    <n v="20"/>
    <n v="20"/>
    <n v="20"/>
    <n v="0"/>
    <n v="0"/>
  </r>
  <r>
    <x v="48"/>
    <x v="6"/>
    <n v="10"/>
    <n v="10"/>
    <n v="10"/>
    <n v="0"/>
    <n v="0"/>
  </r>
  <r>
    <x v="48"/>
    <x v="7"/>
    <n v="1"/>
    <n v="0"/>
    <n v="0"/>
    <n v="0"/>
    <n v="0"/>
  </r>
  <r>
    <x v="48"/>
    <x v="8"/>
    <n v="6"/>
    <n v="6"/>
    <n v="6"/>
    <n v="0"/>
    <n v="0"/>
  </r>
  <r>
    <x v="48"/>
    <x v="8"/>
    <n v="5"/>
    <n v="5"/>
    <n v="5"/>
    <n v="0"/>
    <n v="0"/>
  </r>
  <r>
    <x v="48"/>
    <x v="9"/>
    <n v="3"/>
    <n v="3"/>
    <n v="3"/>
    <n v="0"/>
    <n v="0"/>
  </r>
  <r>
    <x v="48"/>
    <x v="9"/>
    <n v="1"/>
    <n v="1"/>
    <n v="1"/>
    <n v="0"/>
    <n v="0"/>
  </r>
  <r>
    <x v="48"/>
    <x v="10"/>
    <n v="63"/>
    <n v="62"/>
    <n v="58"/>
    <n v="4"/>
    <n v="0"/>
  </r>
  <r>
    <x v="48"/>
    <x v="10"/>
    <n v="65"/>
    <n v="65"/>
    <n v="58"/>
    <n v="7"/>
    <n v="0"/>
  </r>
  <r>
    <x v="48"/>
    <x v="11"/>
    <n v="29"/>
    <n v="27"/>
    <n v="17"/>
    <n v="10"/>
    <n v="0"/>
  </r>
  <r>
    <x v="48"/>
    <x v="11"/>
    <n v="25"/>
    <n v="25"/>
    <n v="24"/>
    <n v="1"/>
    <n v="0"/>
  </r>
  <r>
    <x v="49"/>
    <x v="0"/>
    <n v="14"/>
    <n v="9"/>
    <n v="9"/>
    <n v="0"/>
    <n v="0"/>
  </r>
  <r>
    <x v="49"/>
    <x v="0"/>
    <n v="1"/>
    <n v="1"/>
    <n v="1"/>
    <n v="0"/>
    <n v="0"/>
  </r>
  <r>
    <x v="49"/>
    <x v="12"/>
    <n v="2"/>
    <n v="0"/>
    <n v="0"/>
    <n v="0"/>
    <n v="0"/>
  </r>
  <r>
    <x v="49"/>
    <x v="2"/>
    <n v="58"/>
    <n v="57"/>
    <n v="55"/>
    <n v="2"/>
    <n v="1"/>
  </r>
  <r>
    <x v="49"/>
    <x v="2"/>
    <n v="38"/>
    <n v="38"/>
    <n v="32"/>
    <n v="6"/>
    <n v="0"/>
  </r>
  <r>
    <x v="49"/>
    <x v="3"/>
    <n v="33"/>
    <n v="33"/>
    <n v="22"/>
    <n v="11"/>
    <n v="0"/>
  </r>
  <r>
    <x v="49"/>
    <x v="3"/>
    <n v="39"/>
    <n v="37"/>
    <n v="32"/>
    <n v="5"/>
    <n v="0"/>
  </r>
  <r>
    <x v="49"/>
    <x v="4"/>
    <n v="141"/>
    <n v="138"/>
    <n v="129"/>
    <n v="9"/>
    <n v="0"/>
  </r>
  <r>
    <x v="49"/>
    <x v="4"/>
    <n v="111"/>
    <n v="108"/>
    <n v="103"/>
    <n v="5"/>
    <n v="1"/>
  </r>
  <r>
    <x v="49"/>
    <x v="5"/>
    <n v="153"/>
    <n v="151"/>
    <n v="136"/>
    <n v="15"/>
    <n v="1"/>
  </r>
  <r>
    <x v="49"/>
    <x v="5"/>
    <n v="104"/>
    <n v="102"/>
    <n v="93"/>
    <n v="9"/>
    <n v="1"/>
  </r>
  <r>
    <x v="49"/>
    <x v="6"/>
    <n v="57"/>
    <n v="57"/>
    <n v="56"/>
    <n v="1"/>
    <n v="0"/>
  </r>
  <r>
    <x v="49"/>
    <x v="6"/>
    <n v="40"/>
    <n v="40"/>
    <n v="40"/>
    <n v="0"/>
    <n v="0"/>
  </r>
  <r>
    <x v="49"/>
    <x v="7"/>
    <n v="39"/>
    <n v="36"/>
    <n v="36"/>
    <n v="0"/>
    <n v="1"/>
  </r>
  <r>
    <x v="49"/>
    <x v="7"/>
    <n v="38"/>
    <n v="33"/>
    <n v="28"/>
    <n v="5"/>
    <n v="0"/>
  </r>
  <r>
    <x v="49"/>
    <x v="8"/>
    <n v="15"/>
    <n v="15"/>
    <n v="14"/>
    <n v="1"/>
    <n v="0"/>
  </r>
  <r>
    <x v="49"/>
    <x v="8"/>
    <n v="14"/>
    <n v="14"/>
    <n v="13"/>
    <n v="1"/>
    <n v="0"/>
  </r>
  <r>
    <x v="49"/>
    <x v="9"/>
    <n v="14"/>
    <n v="14"/>
    <n v="13"/>
    <n v="1"/>
    <n v="0"/>
  </r>
  <r>
    <x v="49"/>
    <x v="9"/>
    <n v="6"/>
    <n v="6"/>
    <n v="5"/>
    <n v="1"/>
    <n v="0"/>
  </r>
  <r>
    <x v="49"/>
    <x v="10"/>
    <n v="113"/>
    <n v="113"/>
    <n v="109"/>
    <n v="4"/>
    <n v="0"/>
  </r>
  <r>
    <x v="49"/>
    <x v="10"/>
    <n v="98"/>
    <n v="98"/>
    <n v="84"/>
    <n v="14"/>
    <n v="0"/>
  </r>
  <r>
    <x v="49"/>
    <x v="11"/>
    <n v="9"/>
    <n v="9"/>
    <n v="3"/>
    <n v="6"/>
    <n v="0"/>
  </r>
  <r>
    <x v="49"/>
    <x v="11"/>
    <n v="9"/>
    <n v="9"/>
    <n v="8"/>
    <n v="1"/>
    <n v="0"/>
  </r>
  <r>
    <x v="50"/>
    <x v="0"/>
    <n v="5"/>
    <n v="3"/>
    <n v="3"/>
    <n v="0"/>
    <n v="0"/>
  </r>
  <r>
    <x v="50"/>
    <x v="0"/>
    <n v="1"/>
    <n v="1"/>
    <n v="1"/>
    <n v="0"/>
    <n v="0"/>
  </r>
  <r>
    <x v="50"/>
    <x v="12"/>
    <n v="2"/>
    <n v="0"/>
    <n v="0"/>
    <n v="0"/>
    <n v="0"/>
  </r>
  <r>
    <x v="50"/>
    <x v="12"/>
    <n v="1"/>
    <n v="0"/>
    <n v="0"/>
    <n v="0"/>
    <n v="0"/>
  </r>
  <r>
    <x v="50"/>
    <x v="2"/>
    <n v="32"/>
    <n v="32"/>
    <n v="23"/>
    <n v="9"/>
    <n v="0"/>
  </r>
  <r>
    <x v="50"/>
    <x v="2"/>
    <n v="33"/>
    <n v="33"/>
    <n v="27"/>
    <n v="6"/>
    <n v="0"/>
  </r>
  <r>
    <x v="50"/>
    <x v="3"/>
    <n v="62"/>
    <n v="61"/>
    <n v="42"/>
    <n v="19"/>
    <n v="1"/>
  </r>
  <r>
    <x v="50"/>
    <x v="3"/>
    <n v="62"/>
    <n v="61"/>
    <n v="50"/>
    <n v="11"/>
    <n v="1"/>
  </r>
  <r>
    <x v="50"/>
    <x v="4"/>
    <n v="80"/>
    <n v="79"/>
    <n v="54"/>
    <n v="25"/>
    <n v="1"/>
  </r>
  <r>
    <x v="50"/>
    <x v="4"/>
    <n v="90"/>
    <n v="83"/>
    <n v="77"/>
    <n v="6"/>
    <n v="2"/>
  </r>
  <r>
    <x v="50"/>
    <x v="5"/>
    <n v="92"/>
    <n v="88"/>
    <n v="52"/>
    <n v="36"/>
    <n v="4"/>
  </r>
  <r>
    <x v="50"/>
    <x v="5"/>
    <n v="73"/>
    <n v="70"/>
    <n v="58"/>
    <n v="12"/>
    <n v="2"/>
  </r>
  <r>
    <x v="50"/>
    <x v="6"/>
    <n v="28"/>
    <n v="27"/>
    <n v="27"/>
    <n v="0"/>
    <n v="0"/>
  </r>
  <r>
    <x v="50"/>
    <x v="6"/>
    <n v="13"/>
    <n v="12"/>
    <n v="12"/>
    <n v="0"/>
    <n v="0"/>
  </r>
  <r>
    <x v="50"/>
    <x v="7"/>
    <n v="2"/>
    <n v="1"/>
    <n v="0"/>
    <n v="1"/>
    <n v="1"/>
  </r>
  <r>
    <x v="50"/>
    <x v="7"/>
    <n v="3"/>
    <n v="3"/>
    <n v="2"/>
    <n v="1"/>
    <n v="0"/>
  </r>
  <r>
    <x v="50"/>
    <x v="8"/>
    <n v="30"/>
    <n v="30"/>
    <n v="23"/>
    <n v="7"/>
    <n v="0"/>
  </r>
  <r>
    <x v="50"/>
    <x v="8"/>
    <n v="19"/>
    <n v="18"/>
    <n v="11"/>
    <n v="7"/>
    <n v="1"/>
  </r>
  <r>
    <x v="50"/>
    <x v="9"/>
    <n v="12"/>
    <n v="12"/>
    <n v="10"/>
    <n v="2"/>
    <n v="0"/>
  </r>
  <r>
    <x v="50"/>
    <x v="9"/>
    <n v="2"/>
    <n v="2"/>
    <n v="2"/>
    <n v="0"/>
    <n v="0"/>
  </r>
  <r>
    <x v="50"/>
    <x v="10"/>
    <n v="63"/>
    <n v="63"/>
    <n v="56"/>
    <n v="7"/>
    <n v="0"/>
  </r>
  <r>
    <x v="50"/>
    <x v="10"/>
    <n v="46"/>
    <n v="45"/>
    <n v="36"/>
    <n v="9"/>
    <n v="0"/>
  </r>
  <r>
    <x v="50"/>
    <x v="11"/>
    <n v="15"/>
    <n v="15"/>
    <n v="14"/>
    <n v="1"/>
    <n v="0"/>
  </r>
  <r>
    <x v="50"/>
    <x v="11"/>
    <n v="18"/>
    <n v="14"/>
    <n v="14"/>
    <n v="0"/>
    <n v="0"/>
  </r>
  <r>
    <x v="51"/>
    <x v="3"/>
    <n v="1"/>
    <n v="1"/>
    <n v="1"/>
    <n v="0"/>
    <n v="0"/>
  </r>
  <r>
    <x v="51"/>
    <x v="3"/>
    <n v="2"/>
    <n v="2"/>
    <n v="2"/>
    <n v="0"/>
    <n v="0"/>
  </r>
  <r>
    <x v="51"/>
    <x v="4"/>
    <n v="10"/>
    <n v="9"/>
    <n v="8"/>
    <n v="1"/>
    <n v="0"/>
  </r>
  <r>
    <x v="51"/>
    <x v="4"/>
    <n v="5"/>
    <n v="5"/>
    <n v="4"/>
    <n v="1"/>
    <n v="0"/>
  </r>
  <r>
    <x v="51"/>
    <x v="5"/>
    <n v="3"/>
    <n v="3"/>
    <n v="3"/>
    <n v="0"/>
    <n v="0"/>
  </r>
  <r>
    <x v="51"/>
    <x v="5"/>
    <n v="5"/>
    <n v="5"/>
    <n v="5"/>
    <n v="0"/>
    <n v="0"/>
  </r>
  <r>
    <x v="51"/>
    <x v="6"/>
    <n v="2"/>
    <n v="1"/>
    <n v="1"/>
    <n v="0"/>
    <n v="0"/>
  </r>
  <r>
    <x v="51"/>
    <x v="8"/>
    <n v="2"/>
    <n v="2"/>
    <n v="2"/>
    <n v="0"/>
    <n v="0"/>
  </r>
  <r>
    <x v="51"/>
    <x v="9"/>
    <n v="1"/>
    <n v="1"/>
    <n v="1"/>
    <n v="0"/>
    <n v="0"/>
  </r>
  <r>
    <x v="51"/>
    <x v="9"/>
    <n v="1"/>
    <n v="1"/>
    <n v="0"/>
    <n v="1"/>
    <n v="0"/>
  </r>
  <r>
    <x v="51"/>
    <x v="10"/>
    <n v="5"/>
    <n v="5"/>
    <n v="5"/>
    <n v="0"/>
    <n v="0"/>
  </r>
  <r>
    <x v="52"/>
    <x v="0"/>
    <n v="4"/>
    <n v="3"/>
    <n v="3"/>
    <n v="0"/>
    <n v="0"/>
  </r>
  <r>
    <x v="52"/>
    <x v="12"/>
    <n v="2"/>
    <n v="0"/>
    <n v="0"/>
    <n v="0"/>
    <n v="0"/>
  </r>
  <r>
    <x v="52"/>
    <x v="2"/>
    <n v="2"/>
    <n v="2"/>
    <n v="1"/>
    <n v="1"/>
    <n v="0"/>
  </r>
  <r>
    <x v="52"/>
    <x v="2"/>
    <n v="3"/>
    <n v="3"/>
    <n v="2"/>
    <n v="1"/>
    <n v="0"/>
  </r>
  <r>
    <x v="52"/>
    <x v="3"/>
    <n v="31"/>
    <n v="31"/>
    <n v="28"/>
    <n v="3"/>
    <n v="0"/>
  </r>
  <r>
    <x v="52"/>
    <x v="3"/>
    <n v="14"/>
    <n v="13"/>
    <n v="10"/>
    <n v="3"/>
    <n v="0"/>
  </r>
  <r>
    <x v="52"/>
    <x v="4"/>
    <n v="33"/>
    <n v="32"/>
    <n v="24"/>
    <n v="8"/>
    <n v="0"/>
  </r>
  <r>
    <x v="52"/>
    <x v="4"/>
    <n v="38"/>
    <n v="36"/>
    <n v="30"/>
    <n v="6"/>
    <n v="0"/>
  </r>
  <r>
    <x v="52"/>
    <x v="5"/>
    <n v="44"/>
    <n v="44"/>
    <n v="25"/>
    <n v="19"/>
    <n v="0"/>
  </r>
  <r>
    <x v="52"/>
    <x v="5"/>
    <n v="45"/>
    <n v="44"/>
    <n v="41"/>
    <n v="3"/>
    <n v="0"/>
  </r>
  <r>
    <x v="52"/>
    <x v="6"/>
    <n v="4"/>
    <n v="4"/>
    <n v="4"/>
    <n v="0"/>
    <n v="0"/>
  </r>
  <r>
    <x v="52"/>
    <x v="6"/>
    <n v="1"/>
    <n v="1"/>
    <n v="1"/>
    <n v="0"/>
    <n v="0"/>
  </r>
  <r>
    <x v="52"/>
    <x v="7"/>
    <n v="5"/>
    <n v="5"/>
    <n v="4"/>
    <n v="1"/>
    <n v="0"/>
  </r>
  <r>
    <x v="52"/>
    <x v="7"/>
    <n v="2"/>
    <n v="2"/>
    <n v="0"/>
    <n v="2"/>
    <n v="0"/>
  </r>
  <r>
    <x v="52"/>
    <x v="8"/>
    <n v="13"/>
    <n v="13"/>
    <n v="11"/>
    <n v="2"/>
    <n v="0"/>
  </r>
  <r>
    <x v="52"/>
    <x v="8"/>
    <n v="8"/>
    <n v="8"/>
    <n v="7"/>
    <n v="1"/>
    <n v="0"/>
  </r>
  <r>
    <x v="52"/>
    <x v="9"/>
    <n v="4"/>
    <n v="4"/>
    <n v="4"/>
    <n v="0"/>
    <n v="0"/>
  </r>
  <r>
    <x v="52"/>
    <x v="9"/>
    <n v="7"/>
    <n v="7"/>
    <n v="6"/>
    <n v="1"/>
    <n v="0"/>
  </r>
  <r>
    <x v="52"/>
    <x v="10"/>
    <n v="33"/>
    <n v="33"/>
    <n v="28"/>
    <n v="5"/>
    <n v="0"/>
  </r>
  <r>
    <x v="52"/>
    <x v="10"/>
    <n v="17"/>
    <n v="17"/>
    <n v="16"/>
    <n v="1"/>
    <n v="0"/>
  </r>
  <r>
    <x v="52"/>
    <x v="11"/>
    <n v="1"/>
    <n v="0"/>
    <n v="0"/>
    <n v="0"/>
    <n v="0"/>
  </r>
  <r>
    <x v="53"/>
    <x v="0"/>
    <n v="15"/>
    <n v="12"/>
    <n v="9"/>
    <n v="3"/>
    <n v="0"/>
  </r>
  <r>
    <x v="53"/>
    <x v="0"/>
    <n v="8"/>
    <n v="6"/>
    <n v="6"/>
    <n v="0"/>
    <n v="0"/>
  </r>
  <r>
    <x v="53"/>
    <x v="12"/>
    <n v="2"/>
    <n v="0"/>
    <n v="0"/>
    <n v="0"/>
    <n v="0"/>
  </r>
  <r>
    <x v="53"/>
    <x v="2"/>
    <n v="41"/>
    <n v="41"/>
    <n v="39"/>
    <n v="2"/>
    <n v="0"/>
  </r>
  <r>
    <x v="53"/>
    <x v="2"/>
    <n v="45"/>
    <n v="45"/>
    <n v="42"/>
    <n v="3"/>
    <n v="0"/>
  </r>
  <r>
    <x v="53"/>
    <x v="3"/>
    <n v="49"/>
    <n v="49"/>
    <n v="49"/>
    <n v="0"/>
    <n v="0"/>
  </r>
  <r>
    <x v="53"/>
    <x v="3"/>
    <n v="47"/>
    <n v="47"/>
    <n v="41"/>
    <n v="6"/>
    <n v="0"/>
  </r>
  <r>
    <x v="53"/>
    <x v="4"/>
    <n v="82"/>
    <n v="79"/>
    <n v="72"/>
    <n v="7"/>
    <n v="1"/>
  </r>
  <r>
    <x v="53"/>
    <x v="4"/>
    <n v="59"/>
    <n v="59"/>
    <n v="49"/>
    <n v="10"/>
    <n v="0"/>
  </r>
  <r>
    <x v="53"/>
    <x v="5"/>
    <n v="164"/>
    <n v="164"/>
    <n v="152"/>
    <n v="12"/>
    <n v="0"/>
  </r>
  <r>
    <x v="53"/>
    <x v="5"/>
    <n v="61"/>
    <n v="60"/>
    <n v="58"/>
    <n v="2"/>
    <n v="0"/>
  </r>
  <r>
    <x v="53"/>
    <x v="6"/>
    <n v="26"/>
    <n v="26"/>
    <n v="23"/>
    <n v="3"/>
    <n v="0"/>
  </r>
  <r>
    <x v="53"/>
    <x v="6"/>
    <n v="14"/>
    <n v="14"/>
    <n v="14"/>
    <n v="0"/>
    <n v="0"/>
  </r>
  <r>
    <x v="53"/>
    <x v="7"/>
    <n v="5"/>
    <n v="5"/>
    <n v="5"/>
    <n v="0"/>
    <n v="0"/>
  </r>
  <r>
    <x v="53"/>
    <x v="8"/>
    <n v="20"/>
    <n v="20"/>
    <n v="17"/>
    <n v="3"/>
    <n v="0"/>
  </r>
  <r>
    <x v="53"/>
    <x v="8"/>
    <n v="24"/>
    <n v="23"/>
    <n v="22"/>
    <n v="1"/>
    <n v="0"/>
  </r>
  <r>
    <x v="53"/>
    <x v="9"/>
    <n v="5"/>
    <n v="5"/>
    <n v="5"/>
    <n v="0"/>
    <n v="0"/>
  </r>
  <r>
    <x v="53"/>
    <x v="9"/>
    <n v="18"/>
    <n v="17"/>
    <n v="16"/>
    <n v="1"/>
    <n v="0"/>
  </r>
  <r>
    <x v="53"/>
    <x v="10"/>
    <n v="190"/>
    <n v="189"/>
    <n v="161"/>
    <n v="28"/>
    <n v="1"/>
  </r>
  <r>
    <x v="53"/>
    <x v="10"/>
    <n v="96"/>
    <n v="96"/>
    <n v="67"/>
    <n v="29"/>
    <n v="0"/>
  </r>
  <r>
    <x v="53"/>
    <x v="11"/>
    <n v="41"/>
    <n v="41"/>
    <n v="40"/>
    <n v="1"/>
    <n v="0"/>
  </r>
  <r>
    <x v="53"/>
    <x v="11"/>
    <n v="44"/>
    <n v="44"/>
    <n v="40"/>
    <n v="4"/>
    <n v="0"/>
  </r>
  <r>
    <x v="54"/>
    <x v="16"/>
    <n v="1"/>
    <n v="0"/>
    <n v="0"/>
    <n v="0"/>
    <n v="0"/>
  </r>
  <r>
    <x v="54"/>
    <x v="2"/>
    <n v="2"/>
    <n v="2"/>
    <n v="2"/>
    <n v="0"/>
    <n v="0"/>
  </r>
  <r>
    <x v="54"/>
    <x v="2"/>
    <n v="15"/>
    <n v="14"/>
    <n v="7"/>
    <n v="7"/>
    <n v="0"/>
  </r>
  <r>
    <x v="54"/>
    <x v="3"/>
    <n v="22"/>
    <n v="22"/>
    <n v="20"/>
    <n v="2"/>
    <n v="0"/>
  </r>
  <r>
    <x v="54"/>
    <x v="3"/>
    <n v="19"/>
    <n v="19"/>
    <n v="16"/>
    <n v="3"/>
    <n v="0"/>
  </r>
  <r>
    <x v="54"/>
    <x v="4"/>
    <n v="45"/>
    <n v="40"/>
    <n v="22"/>
    <n v="18"/>
    <n v="0"/>
  </r>
  <r>
    <x v="54"/>
    <x v="4"/>
    <n v="30"/>
    <n v="30"/>
    <n v="26"/>
    <n v="4"/>
    <n v="0"/>
  </r>
  <r>
    <x v="54"/>
    <x v="5"/>
    <n v="68"/>
    <n v="68"/>
    <n v="58"/>
    <n v="10"/>
    <n v="0"/>
  </r>
  <r>
    <x v="54"/>
    <x v="5"/>
    <n v="50"/>
    <n v="49"/>
    <n v="35"/>
    <n v="14"/>
    <n v="1"/>
  </r>
  <r>
    <x v="54"/>
    <x v="6"/>
    <n v="14"/>
    <n v="14"/>
    <n v="14"/>
    <n v="0"/>
    <n v="0"/>
  </r>
  <r>
    <x v="54"/>
    <x v="6"/>
    <n v="15"/>
    <n v="15"/>
    <n v="15"/>
    <n v="0"/>
    <n v="0"/>
  </r>
  <r>
    <x v="54"/>
    <x v="7"/>
    <n v="1"/>
    <n v="1"/>
    <n v="1"/>
    <n v="0"/>
    <n v="0"/>
  </r>
  <r>
    <x v="54"/>
    <x v="8"/>
    <n v="13"/>
    <n v="13"/>
    <n v="10"/>
    <n v="3"/>
    <n v="0"/>
  </r>
  <r>
    <x v="54"/>
    <x v="8"/>
    <n v="7"/>
    <n v="7"/>
    <n v="6"/>
    <n v="1"/>
    <n v="0"/>
  </r>
  <r>
    <x v="54"/>
    <x v="9"/>
    <n v="2"/>
    <n v="2"/>
    <n v="1"/>
    <n v="1"/>
    <n v="0"/>
  </r>
  <r>
    <x v="54"/>
    <x v="10"/>
    <n v="51"/>
    <n v="49"/>
    <n v="44"/>
    <n v="5"/>
    <n v="0"/>
  </r>
  <r>
    <x v="54"/>
    <x v="10"/>
    <n v="44"/>
    <n v="44"/>
    <n v="32"/>
    <n v="12"/>
    <n v="0"/>
  </r>
  <r>
    <x v="54"/>
    <x v="11"/>
    <n v="7"/>
    <n v="7"/>
    <n v="5"/>
    <n v="2"/>
    <n v="0"/>
  </r>
  <r>
    <x v="54"/>
    <x v="11"/>
    <n v="4"/>
    <n v="4"/>
    <n v="4"/>
    <n v="0"/>
    <n v="0"/>
  </r>
  <r>
    <x v="55"/>
    <x v="0"/>
    <n v="1"/>
    <n v="1"/>
    <n v="1"/>
    <n v="0"/>
    <n v="0"/>
  </r>
  <r>
    <x v="55"/>
    <x v="0"/>
    <n v="2"/>
    <n v="2"/>
    <n v="2"/>
    <n v="0"/>
    <n v="0"/>
  </r>
  <r>
    <x v="55"/>
    <x v="2"/>
    <n v="7"/>
    <n v="7"/>
    <n v="6"/>
    <n v="1"/>
    <n v="0"/>
  </r>
  <r>
    <x v="55"/>
    <x v="2"/>
    <n v="5"/>
    <n v="5"/>
    <n v="5"/>
    <n v="0"/>
    <n v="0"/>
  </r>
  <r>
    <x v="55"/>
    <x v="3"/>
    <n v="12"/>
    <n v="11"/>
    <n v="9"/>
    <n v="2"/>
    <n v="0"/>
  </r>
  <r>
    <x v="55"/>
    <x v="3"/>
    <n v="12"/>
    <n v="12"/>
    <n v="7"/>
    <n v="5"/>
    <n v="0"/>
  </r>
  <r>
    <x v="55"/>
    <x v="4"/>
    <n v="40"/>
    <n v="40"/>
    <n v="26"/>
    <n v="14"/>
    <n v="0"/>
  </r>
  <r>
    <x v="55"/>
    <x v="4"/>
    <n v="21"/>
    <n v="17"/>
    <n v="16"/>
    <n v="1"/>
    <n v="0"/>
  </r>
  <r>
    <x v="55"/>
    <x v="5"/>
    <n v="41"/>
    <n v="41"/>
    <n v="35"/>
    <n v="6"/>
    <n v="0"/>
  </r>
  <r>
    <x v="55"/>
    <x v="5"/>
    <n v="35"/>
    <n v="35"/>
    <n v="20"/>
    <n v="15"/>
    <n v="0"/>
  </r>
  <r>
    <x v="55"/>
    <x v="7"/>
    <n v="5"/>
    <n v="2"/>
    <n v="2"/>
    <n v="0"/>
    <n v="0"/>
  </r>
  <r>
    <x v="55"/>
    <x v="7"/>
    <n v="1"/>
    <n v="0"/>
    <n v="0"/>
    <n v="0"/>
    <n v="0"/>
  </r>
  <r>
    <x v="55"/>
    <x v="8"/>
    <n v="2"/>
    <n v="2"/>
    <n v="2"/>
    <n v="0"/>
    <n v="0"/>
  </r>
  <r>
    <x v="55"/>
    <x v="8"/>
    <n v="1"/>
    <n v="1"/>
    <n v="1"/>
    <n v="0"/>
    <n v="0"/>
  </r>
  <r>
    <x v="55"/>
    <x v="9"/>
    <n v="2"/>
    <n v="1"/>
    <n v="1"/>
    <n v="0"/>
    <n v="0"/>
  </r>
  <r>
    <x v="55"/>
    <x v="9"/>
    <n v="1"/>
    <n v="1"/>
    <n v="1"/>
    <n v="0"/>
    <n v="0"/>
  </r>
  <r>
    <x v="55"/>
    <x v="10"/>
    <n v="16"/>
    <n v="16"/>
    <n v="14"/>
    <n v="2"/>
    <n v="0"/>
  </r>
  <r>
    <x v="55"/>
    <x v="10"/>
    <n v="10"/>
    <n v="10"/>
    <n v="9"/>
    <n v="1"/>
    <n v="0"/>
  </r>
  <r>
    <x v="56"/>
    <x v="0"/>
    <n v="4"/>
    <n v="3"/>
    <n v="3"/>
    <n v="0"/>
    <n v="0"/>
  </r>
  <r>
    <x v="56"/>
    <x v="2"/>
    <n v="10"/>
    <n v="10"/>
    <n v="9"/>
    <n v="1"/>
    <n v="0"/>
  </r>
  <r>
    <x v="56"/>
    <x v="2"/>
    <n v="12"/>
    <n v="12"/>
    <n v="9"/>
    <n v="3"/>
    <n v="0"/>
  </r>
  <r>
    <x v="56"/>
    <x v="3"/>
    <n v="15"/>
    <n v="15"/>
    <n v="12"/>
    <n v="3"/>
    <n v="0"/>
  </r>
  <r>
    <x v="56"/>
    <x v="3"/>
    <n v="24"/>
    <n v="24"/>
    <n v="23"/>
    <n v="1"/>
    <n v="0"/>
  </r>
  <r>
    <x v="56"/>
    <x v="4"/>
    <n v="25"/>
    <n v="24"/>
    <n v="20"/>
    <n v="4"/>
    <n v="0"/>
  </r>
  <r>
    <x v="56"/>
    <x v="4"/>
    <n v="23"/>
    <n v="23"/>
    <n v="18"/>
    <n v="5"/>
    <n v="0"/>
  </r>
  <r>
    <x v="56"/>
    <x v="5"/>
    <n v="35"/>
    <n v="35"/>
    <n v="34"/>
    <n v="1"/>
    <n v="0"/>
  </r>
  <r>
    <x v="56"/>
    <x v="5"/>
    <n v="13"/>
    <n v="13"/>
    <n v="11"/>
    <n v="2"/>
    <n v="0"/>
  </r>
  <r>
    <x v="56"/>
    <x v="6"/>
    <n v="20"/>
    <n v="20"/>
    <n v="20"/>
    <n v="0"/>
    <n v="0"/>
  </r>
  <r>
    <x v="56"/>
    <x v="7"/>
    <n v="1"/>
    <n v="1"/>
    <n v="1"/>
    <n v="0"/>
    <n v="0"/>
  </r>
  <r>
    <x v="56"/>
    <x v="8"/>
    <n v="5"/>
    <n v="5"/>
    <n v="4"/>
    <n v="1"/>
    <n v="0"/>
  </r>
  <r>
    <x v="56"/>
    <x v="8"/>
    <n v="6"/>
    <n v="5"/>
    <n v="4"/>
    <n v="1"/>
    <n v="0"/>
  </r>
  <r>
    <x v="56"/>
    <x v="9"/>
    <n v="3"/>
    <n v="3"/>
    <n v="3"/>
    <n v="0"/>
    <n v="0"/>
  </r>
  <r>
    <x v="56"/>
    <x v="10"/>
    <n v="29"/>
    <n v="29"/>
    <n v="29"/>
    <n v="0"/>
    <n v="0"/>
  </r>
  <r>
    <x v="56"/>
    <x v="10"/>
    <n v="16"/>
    <n v="16"/>
    <n v="16"/>
    <n v="0"/>
    <n v="0"/>
  </r>
  <r>
    <x v="56"/>
    <x v="11"/>
    <n v="7"/>
    <n v="6"/>
    <n v="5"/>
    <n v="1"/>
    <n v="0"/>
  </r>
  <r>
    <x v="57"/>
    <x v="14"/>
    <n v="1"/>
    <n v="1"/>
    <n v="1"/>
    <n v="0"/>
    <n v="0"/>
  </r>
  <r>
    <x v="57"/>
    <x v="0"/>
    <n v="1"/>
    <n v="1"/>
    <n v="1"/>
    <n v="0"/>
    <n v="0"/>
  </r>
  <r>
    <x v="57"/>
    <x v="12"/>
    <n v="1"/>
    <n v="0"/>
    <n v="0"/>
    <n v="0"/>
    <n v="0"/>
  </r>
  <r>
    <x v="57"/>
    <x v="2"/>
    <n v="1"/>
    <n v="1"/>
    <n v="1"/>
    <n v="0"/>
    <n v="0"/>
  </r>
  <r>
    <x v="57"/>
    <x v="2"/>
    <n v="6"/>
    <n v="6"/>
    <n v="3"/>
    <n v="3"/>
    <n v="0"/>
  </r>
  <r>
    <x v="57"/>
    <x v="3"/>
    <n v="34"/>
    <n v="32"/>
    <n v="24"/>
    <n v="8"/>
    <n v="1"/>
  </r>
  <r>
    <x v="57"/>
    <x v="3"/>
    <n v="18"/>
    <n v="18"/>
    <n v="9"/>
    <n v="9"/>
    <n v="0"/>
  </r>
  <r>
    <x v="57"/>
    <x v="4"/>
    <n v="88"/>
    <n v="84"/>
    <n v="47"/>
    <n v="37"/>
    <n v="0"/>
  </r>
  <r>
    <x v="57"/>
    <x v="4"/>
    <n v="43"/>
    <n v="41"/>
    <n v="28"/>
    <n v="13"/>
    <n v="0"/>
  </r>
  <r>
    <x v="57"/>
    <x v="5"/>
    <n v="36"/>
    <n v="35"/>
    <n v="26"/>
    <n v="9"/>
    <n v="0"/>
  </r>
  <r>
    <x v="57"/>
    <x v="5"/>
    <n v="10"/>
    <n v="9"/>
    <n v="6"/>
    <n v="3"/>
    <n v="0"/>
  </r>
  <r>
    <x v="57"/>
    <x v="6"/>
    <n v="19"/>
    <n v="19"/>
    <n v="19"/>
    <n v="0"/>
    <n v="0"/>
  </r>
  <r>
    <x v="57"/>
    <x v="6"/>
    <n v="3"/>
    <n v="3"/>
    <n v="3"/>
    <n v="0"/>
    <n v="0"/>
  </r>
  <r>
    <x v="57"/>
    <x v="7"/>
    <n v="6"/>
    <n v="4"/>
    <n v="3"/>
    <n v="1"/>
    <n v="0"/>
  </r>
  <r>
    <x v="57"/>
    <x v="8"/>
    <n v="17"/>
    <n v="16"/>
    <n v="7"/>
    <n v="9"/>
    <n v="0"/>
  </r>
  <r>
    <x v="57"/>
    <x v="8"/>
    <n v="1"/>
    <n v="1"/>
    <n v="1"/>
    <n v="0"/>
    <n v="0"/>
  </r>
  <r>
    <x v="57"/>
    <x v="9"/>
    <n v="5"/>
    <n v="5"/>
    <n v="4"/>
    <n v="1"/>
    <n v="0"/>
  </r>
  <r>
    <x v="57"/>
    <x v="9"/>
    <n v="1"/>
    <n v="1"/>
    <n v="1"/>
    <n v="0"/>
    <n v="0"/>
  </r>
  <r>
    <x v="57"/>
    <x v="10"/>
    <n v="32"/>
    <n v="32"/>
    <n v="28"/>
    <n v="4"/>
    <n v="0"/>
  </r>
  <r>
    <x v="57"/>
    <x v="10"/>
    <n v="11"/>
    <n v="11"/>
    <n v="7"/>
    <n v="4"/>
    <n v="0"/>
  </r>
  <r>
    <x v="57"/>
    <x v="11"/>
    <n v="1"/>
    <n v="1"/>
    <n v="1"/>
    <n v="0"/>
    <n v="0"/>
  </r>
  <r>
    <x v="57"/>
    <x v="11"/>
    <n v="4"/>
    <n v="3"/>
    <n v="3"/>
    <n v="0"/>
    <n v="0"/>
  </r>
  <r>
    <x v="58"/>
    <x v="0"/>
    <n v="2"/>
    <n v="2"/>
    <n v="1"/>
    <n v="1"/>
    <n v="0"/>
  </r>
  <r>
    <x v="58"/>
    <x v="2"/>
    <n v="1"/>
    <n v="1"/>
    <n v="1"/>
    <n v="0"/>
    <n v="0"/>
  </r>
  <r>
    <x v="58"/>
    <x v="2"/>
    <n v="1"/>
    <n v="1"/>
    <n v="1"/>
    <n v="0"/>
    <n v="0"/>
  </r>
  <r>
    <x v="58"/>
    <x v="3"/>
    <n v="15"/>
    <n v="15"/>
    <n v="14"/>
    <n v="1"/>
    <n v="0"/>
  </r>
  <r>
    <x v="58"/>
    <x v="3"/>
    <n v="12"/>
    <n v="12"/>
    <n v="12"/>
    <n v="0"/>
    <n v="0"/>
  </r>
  <r>
    <x v="58"/>
    <x v="4"/>
    <n v="20"/>
    <n v="19"/>
    <n v="18"/>
    <n v="1"/>
    <n v="0"/>
  </r>
  <r>
    <x v="58"/>
    <x v="4"/>
    <n v="16"/>
    <n v="14"/>
    <n v="14"/>
    <n v="0"/>
    <n v="1"/>
  </r>
  <r>
    <x v="58"/>
    <x v="5"/>
    <n v="26"/>
    <n v="26"/>
    <n v="25"/>
    <n v="1"/>
    <n v="0"/>
  </r>
  <r>
    <x v="58"/>
    <x v="5"/>
    <n v="38"/>
    <n v="38"/>
    <n v="36"/>
    <n v="2"/>
    <n v="0"/>
  </r>
  <r>
    <x v="58"/>
    <x v="6"/>
    <n v="4"/>
    <n v="4"/>
    <n v="4"/>
    <n v="0"/>
    <n v="0"/>
  </r>
  <r>
    <x v="58"/>
    <x v="6"/>
    <n v="1"/>
    <n v="1"/>
    <n v="1"/>
    <n v="0"/>
    <n v="0"/>
  </r>
  <r>
    <x v="58"/>
    <x v="7"/>
    <n v="1"/>
    <n v="1"/>
    <n v="1"/>
    <n v="0"/>
    <n v="0"/>
  </r>
  <r>
    <x v="58"/>
    <x v="8"/>
    <n v="9"/>
    <n v="9"/>
    <n v="9"/>
    <n v="0"/>
    <n v="0"/>
  </r>
  <r>
    <x v="58"/>
    <x v="8"/>
    <n v="1"/>
    <n v="1"/>
    <n v="1"/>
    <n v="0"/>
    <n v="0"/>
  </r>
  <r>
    <x v="58"/>
    <x v="9"/>
    <n v="7"/>
    <n v="7"/>
    <n v="7"/>
    <n v="0"/>
    <n v="0"/>
  </r>
  <r>
    <x v="58"/>
    <x v="10"/>
    <n v="34"/>
    <n v="34"/>
    <n v="34"/>
    <n v="0"/>
    <n v="0"/>
  </r>
  <r>
    <x v="58"/>
    <x v="10"/>
    <n v="28"/>
    <n v="28"/>
    <n v="27"/>
    <n v="1"/>
    <n v="0"/>
  </r>
  <r>
    <x v="58"/>
    <x v="11"/>
    <n v="2"/>
    <n v="2"/>
    <n v="2"/>
    <n v="0"/>
    <n v="0"/>
  </r>
  <r>
    <x v="58"/>
    <x v="11"/>
    <n v="1"/>
    <n v="1"/>
    <n v="1"/>
    <n v="0"/>
    <n v="0"/>
  </r>
  <r>
    <x v="59"/>
    <x v="0"/>
    <n v="2"/>
    <n v="2"/>
    <n v="2"/>
    <n v="0"/>
    <n v="0"/>
  </r>
  <r>
    <x v="59"/>
    <x v="12"/>
    <n v="1"/>
    <n v="0"/>
    <n v="0"/>
    <n v="0"/>
    <n v="0"/>
  </r>
  <r>
    <x v="59"/>
    <x v="2"/>
    <n v="1"/>
    <n v="1"/>
    <n v="1"/>
    <n v="0"/>
    <n v="0"/>
  </r>
  <r>
    <x v="59"/>
    <x v="3"/>
    <n v="11"/>
    <n v="10"/>
    <n v="9"/>
    <n v="1"/>
    <n v="1"/>
  </r>
  <r>
    <x v="59"/>
    <x v="3"/>
    <n v="3"/>
    <n v="3"/>
    <n v="3"/>
    <n v="0"/>
    <n v="0"/>
  </r>
  <r>
    <x v="59"/>
    <x v="4"/>
    <n v="8"/>
    <n v="8"/>
    <n v="8"/>
    <n v="0"/>
    <n v="0"/>
  </r>
  <r>
    <x v="59"/>
    <x v="4"/>
    <n v="7"/>
    <n v="6"/>
    <n v="6"/>
    <n v="0"/>
    <n v="1"/>
  </r>
  <r>
    <x v="59"/>
    <x v="5"/>
    <n v="29"/>
    <n v="29"/>
    <n v="29"/>
    <n v="0"/>
    <n v="0"/>
  </r>
  <r>
    <x v="59"/>
    <x v="5"/>
    <n v="11"/>
    <n v="11"/>
    <n v="11"/>
    <n v="0"/>
    <n v="0"/>
  </r>
  <r>
    <x v="59"/>
    <x v="6"/>
    <n v="7"/>
    <n v="7"/>
    <n v="7"/>
    <n v="0"/>
    <n v="0"/>
  </r>
  <r>
    <x v="59"/>
    <x v="6"/>
    <n v="2"/>
    <n v="2"/>
    <n v="2"/>
    <n v="0"/>
    <n v="0"/>
  </r>
  <r>
    <x v="59"/>
    <x v="8"/>
    <n v="5"/>
    <n v="5"/>
    <n v="5"/>
    <n v="0"/>
    <n v="0"/>
  </r>
  <r>
    <x v="59"/>
    <x v="8"/>
    <n v="1"/>
    <n v="1"/>
    <n v="1"/>
    <n v="0"/>
    <n v="0"/>
  </r>
  <r>
    <x v="59"/>
    <x v="9"/>
    <n v="1"/>
    <n v="1"/>
    <n v="1"/>
    <n v="0"/>
    <n v="0"/>
  </r>
  <r>
    <x v="59"/>
    <x v="9"/>
    <n v="1"/>
    <n v="1"/>
    <n v="1"/>
    <n v="0"/>
    <n v="0"/>
  </r>
  <r>
    <x v="59"/>
    <x v="10"/>
    <n v="29"/>
    <n v="29"/>
    <n v="28"/>
    <n v="1"/>
    <n v="0"/>
  </r>
  <r>
    <x v="59"/>
    <x v="10"/>
    <n v="11"/>
    <n v="11"/>
    <n v="11"/>
    <n v="0"/>
    <n v="0"/>
  </r>
  <r>
    <x v="60"/>
    <x v="0"/>
    <n v="4"/>
    <n v="2"/>
    <n v="2"/>
    <n v="0"/>
    <n v="0"/>
  </r>
  <r>
    <x v="60"/>
    <x v="2"/>
    <n v="14"/>
    <n v="14"/>
    <n v="10"/>
    <n v="4"/>
    <n v="0"/>
  </r>
  <r>
    <x v="60"/>
    <x v="2"/>
    <n v="14"/>
    <n v="14"/>
    <n v="14"/>
    <n v="0"/>
    <n v="0"/>
  </r>
  <r>
    <x v="60"/>
    <x v="3"/>
    <n v="23"/>
    <n v="20"/>
    <n v="20"/>
    <n v="0"/>
    <n v="0"/>
  </r>
  <r>
    <x v="60"/>
    <x v="3"/>
    <n v="12"/>
    <n v="12"/>
    <n v="12"/>
    <n v="0"/>
    <n v="0"/>
  </r>
  <r>
    <x v="60"/>
    <x v="4"/>
    <n v="32"/>
    <n v="28"/>
    <n v="27"/>
    <n v="1"/>
    <n v="0"/>
  </r>
  <r>
    <x v="60"/>
    <x v="4"/>
    <n v="24"/>
    <n v="17"/>
    <n v="16"/>
    <n v="1"/>
    <n v="0"/>
  </r>
  <r>
    <x v="60"/>
    <x v="5"/>
    <n v="62"/>
    <n v="50"/>
    <n v="49"/>
    <n v="1"/>
    <n v="0"/>
  </r>
  <r>
    <x v="60"/>
    <x v="5"/>
    <n v="27"/>
    <n v="27"/>
    <n v="26"/>
    <n v="1"/>
    <n v="0"/>
  </r>
  <r>
    <x v="60"/>
    <x v="6"/>
    <n v="8"/>
    <n v="7"/>
    <n v="7"/>
    <n v="0"/>
    <n v="0"/>
  </r>
  <r>
    <x v="60"/>
    <x v="6"/>
    <n v="8"/>
    <n v="8"/>
    <n v="8"/>
    <n v="0"/>
    <n v="0"/>
  </r>
  <r>
    <x v="60"/>
    <x v="7"/>
    <n v="3"/>
    <n v="3"/>
    <n v="3"/>
    <n v="0"/>
    <n v="0"/>
  </r>
  <r>
    <x v="60"/>
    <x v="7"/>
    <n v="1"/>
    <n v="1"/>
    <n v="1"/>
    <n v="0"/>
    <n v="0"/>
  </r>
  <r>
    <x v="60"/>
    <x v="8"/>
    <n v="10"/>
    <n v="8"/>
    <n v="8"/>
    <n v="0"/>
    <n v="0"/>
  </r>
  <r>
    <x v="60"/>
    <x v="8"/>
    <n v="3"/>
    <n v="3"/>
    <n v="3"/>
    <n v="0"/>
    <n v="0"/>
  </r>
  <r>
    <x v="60"/>
    <x v="9"/>
    <n v="8"/>
    <n v="6"/>
    <n v="6"/>
    <n v="0"/>
    <n v="0"/>
  </r>
  <r>
    <x v="60"/>
    <x v="9"/>
    <n v="3"/>
    <n v="3"/>
    <n v="3"/>
    <n v="0"/>
    <n v="0"/>
  </r>
  <r>
    <x v="60"/>
    <x v="10"/>
    <n v="24"/>
    <n v="23"/>
    <n v="23"/>
    <n v="0"/>
    <n v="0"/>
  </r>
  <r>
    <x v="60"/>
    <x v="10"/>
    <n v="21"/>
    <n v="21"/>
    <n v="19"/>
    <n v="2"/>
    <n v="0"/>
  </r>
  <r>
    <x v="60"/>
    <x v="11"/>
    <n v="10"/>
    <n v="10"/>
    <n v="10"/>
    <n v="0"/>
    <n v="0"/>
  </r>
  <r>
    <x v="60"/>
    <x v="11"/>
    <n v="8"/>
    <n v="8"/>
    <n v="7"/>
    <n v="1"/>
    <n v="0"/>
  </r>
  <r>
    <x v="61"/>
    <x v="2"/>
    <n v="1"/>
    <n v="1"/>
    <n v="1"/>
    <n v="0"/>
    <n v="0"/>
  </r>
  <r>
    <x v="61"/>
    <x v="3"/>
    <n v="4"/>
    <n v="4"/>
    <n v="2"/>
    <n v="2"/>
    <n v="0"/>
  </r>
  <r>
    <x v="61"/>
    <x v="3"/>
    <n v="5"/>
    <n v="5"/>
    <n v="5"/>
    <n v="0"/>
    <n v="0"/>
  </r>
  <r>
    <x v="61"/>
    <x v="4"/>
    <n v="16"/>
    <n v="15"/>
    <n v="14"/>
    <n v="1"/>
    <n v="0"/>
  </r>
  <r>
    <x v="61"/>
    <x v="4"/>
    <n v="8"/>
    <n v="8"/>
    <n v="7"/>
    <n v="1"/>
    <n v="0"/>
  </r>
  <r>
    <x v="61"/>
    <x v="5"/>
    <n v="32"/>
    <n v="32"/>
    <n v="29"/>
    <n v="3"/>
    <n v="0"/>
  </r>
  <r>
    <x v="61"/>
    <x v="5"/>
    <n v="11"/>
    <n v="11"/>
    <n v="9"/>
    <n v="2"/>
    <n v="0"/>
  </r>
  <r>
    <x v="61"/>
    <x v="6"/>
    <n v="11"/>
    <n v="11"/>
    <n v="11"/>
    <n v="0"/>
    <n v="0"/>
  </r>
  <r>
    <x v="61"/>
    <x v="6"/>
    <n v="3"/>
    <n v="3"/>
    <n v="3"/>
    <n v="0"/>
    <n v="0"/>
  </r>
  <r>
    <x v="61"/>
    <x v="8"/>
    <n v="2"/>
    <n v="2"/>
    <n v="1"/>
    <n v="1"/>
    <n v="0"/>
  </r>
  <r>
    <x v="61"/>
    <x v="10"/>
    <n v="11"/>
    <n v="11"/>
    <n v="9"/>
    <n v="2"/>
    <n v="0"/>
  </r>
  <r>
    <x v="61"/>
    <x v="10"/>
    <n v="14"/>
    <n v="14"/>
    <n v="12"/>
    <n v="2"/>
    <n v="0"/>
  </r>
  <r>
    <x v="62"/>
    <x v="0"/>
    <n v="4"/>
    <n v="3"/>
    <n v="3"/>
    <n v="0"/>
    <n v="0"/>
  </r>
  <r>
    <x v="62"/>
    <x v="0"/>
    <n v="4"/>
    <n v="3"/>
    <n v="3"/>
    <n v="0"/>
    <n v="0"/>
  </r>
  <r>
    <x v="62"/>
    <x v="2"/>
    <n v="21"/>
    <n v="21"/>
    <n v="18"/>
    <n v="3"/>
    <n v="0"/>
  </r>
  <r>
    <x v="62"/>
    <x v="2"/>
    <n v="9"/>
    <n v="9"/>
    <n v="8"/>
    <n v="1"/>
    <n v="0"/>
  </r>
  <r>
    <x v="62"/>
    <x v="3"/>
    <n v="29"/>
    <n v="28"/>
    <n v="24"/>
    <n v="4"/>
    <n v="0"/>
  </r>
  <r>
    <x v="62"/>
    <x v="3"/>
    <n v="21"/>
    <n v="20"/>
    <n v="16"/>
    <n v="4"/>
    <n v="0"/>
  </r>
  <r>
    <x v="62"/>
    <x v="4"/>
    <n v="74"/>
    <n v="72"/>
    <n v="66"/>
    <n v="6"/>
    <n v="0"/>
  </r>
  <r>
    <x v="62"/>
    <x v="4"/>
    <n v="39"/>
    <n v="39"/>
    <n v="31"/>
    <n v="8"/>
    <n v="0"/>
  </r>
  <r>
    <x v="62"/>
    <x v="5"/>
    <n v="38"/>
    <n v="38"/>
    <n v="34"/>
    <n v="4"/>
    <n v="0"/>
  </r>
  <r>
    <x v="62"/>
    <x v="5"/>
    <n v="17"/>
    <n v="16"/>
    <n v="15"/>
    <n v="1"/>
    <n v="0"/>
  </r>
  <r>
    <x v="62"/>
    <x v="6"/>
    <n v="18"/>
    <n v="18"/>
    <n v="18"/>
    <n v="0"/>
    <n v="0"/>
  </r>
  <r>
    <x v="62"/>
    <x v="6"/>
    <n v="4"/>
    <n v="4"/>
    <n v="4"/>
    <n v="0"/>
    <n v="0"/>
  </r>
  <r>
    <x v="62"/>
    <x v="8"/>
    <n v="5"/>
    <n v="5"/>
    <n v="5"/>
    <n v="0"/>
    <n v="0"/>
  </r>
  <r>
    <x v="62"/>
    <x v="9"/>
    <n v="1"/>
    <n v="1"/>
    <n v="1"/>
    <n v="0"/>
    <n v="0"/>
  </r>
  <r>
    <x v="62"/>
    <x v="10"/>
    <n v="47"/>
    <n v="47"/>
    <n v="47"/>
    <n v="0"/>
    <n v="0"/>
  </r>
  <r>
    <x v="62"/>
    <x v="10"/>
    <n v="17"/>
    <n v="16"/>
    <n v="15"/>
    <n v="1"/>
    <n v="0"/>
  </r>
  <r>
    <x v="63"/>
    <x v="0"/>
    <n v="16"/>
    <n v="15"/>
    <n v="13"/>
    <n v="2"/>
    <n v="0"/>
  </r>
  <r>
    <x v="63"/>
    <x v="0"/>
    <n v="6"/>
    <n v="5"/>
    <n v="5"/>
    <n v="0"/>
    <n v="0"/>
  </r>
  <r>
    <x v="63"/>
    <x v="12"/>
    <n v="1"/>
    <n v="0"/>
    <n v="0"/>
    <n v="0"/>
    <n v="0"/>
  </r>
  <r>
    <x v="63"/>
    <x v="2"/>
    <n v="48"/>
    <n v="48"/>
    <n v="39"/>
    <n v="9"/>
    <n v="0"/>
  </r>
  <r>
    <x v="63"/>
    <x v="2"/>
    <n v="30"/>
    <n v="30"/>
    <n v="20"/>
    <n v="10"/>
    <n v="0"/>
  </r>
  <r>
    <x v="63"/>
    <x v="3"/>
    <n v="85"/>
    <n v="84"/>
    <n v="75"/>
    <n v="9"/>
    <n v="0"/>
  </r>
  <r>
    <x v="63"/>
    <x v="3"/>
    <n v="66"/>
    <n v="64"/>
    <n v="58"/>
    <n v="6"/>
    <n v="1"/>
  </r>
  <r>
    <x v="63"/>
    <x v="4"/>
    <n v="162"/>
    <n v="156"/>
    <n v="133"/>
    <n v="23"/>
    <n v="0"/>
  </r>
  <r>
    <x v="63"/>
    <x v="4"/>
    <n v="96"/>
    <n v="89"/>
    <n v="81"/>
    <n v="8"/>
    <n v="0"/>
  </r>
  <r>
    <x v="63"/>
    <x v="5"/>
    <n v="117"/>
    <n v="117"/>
    <n v="105"/>
    <n v="12"/>
    <n v="0"/>
  </r>
  <r>
    <x v="63"/>
    <x v="5"/>
    <n v="31"/>
    <n v="30"/>
    <n v="26"/>
    <n v="4"/>
    <n v="0"/>
  </r>
  <r>
    <x v="63"/>
    <x v="6"/>
    <n v="23"/>
    <n v="23"/>
    <n v="23"/>
    <n v="0"/>
    <n v="0"/>
  </r>
  <r>
    <x v="63"/>
    <x v="6"/>
    <n v="8"/>
    <n v="8"/>
    <n v="8"/>
    <n v="0"/>
    <n v="0"/>
  </r>
  <r>
    <x v="63"/>
    <x v="7"/>
    <n v="18"/>
    <n v="17"/>
    <n v="17"/>
    <n v="0"/>
    <n v="0"/>
  </r>
  <r>
    <x v="63"/>
    <x v="7"/>
    <n v="2"/>
    <n v="2"/>
    <n v="2"/>
    <n v="0"/>
    <n v="0"/>
  </r>
  <r>
    <x v="63"/>
    <x v="8"/>
    <n v="39"/>
    <n v="39"/>
    <n v="38"/>
    <n v="1"/>
    <n v="0"/>
  </r>
  <r>
    <x v="63"/>
    <x v="8"/>
    <n v="11"/>
    <n v="11"/>
    <n v="10"/>
    <n v="1"/>
    <n v="0"/>
  </r>
  <r>
    <x v="63"/>
    <x v="9"/>
    <n v="31"/>
    <n v="31"/>
    <n v="31"/>
    <n v="0"/>
    <n v="0"/>
  </r>
  <r>
    <x v="63"/>
    <x v="9"/>
    <n v="4"/>
    <n v="3"/>
    <n v="3"/>
    <n v="0"/>
    <n v="0"/>
  </r>
  <r>
    <x v="63"/>
    <x v="10"/>
    <n v="111"/>
    <n v="110"/>
    <n v="103"/>
    <n v="7"/>
    <n v="0"/>
  </r>
  <r>
    <x v="63"/>
    <x v="10"/>
    <n v="51"/>
    <n v="51"/>
    <n v="47"/>
    <n v="4"/>
    <n v="0"/>
  </r>
  <r>
    <x v="63"/>
    <x v="11"/>
    <n v="41"/>
    <n v="41"/>
    <n v="36"/>
    <n v="5"/>
    <n v="0"/>
  </r>
  <r>
    <x v="63"/>
    <x v="11"/>
    <n v="24"/>
    <n v="23"/>
    <n v="19"/>
    <n v="4"/>
    <n v="0"/>
  </r>
  <r>
    <x v="64"/>
    <x v="0"/>
    <n v="4"/>
    <n v="3"/>
    <n v="3"/>
    <n v="0"/>
    <n v="0"/>
  </r>
  <r>
    <x v="64"/>
    <x v="0"/>
    <n v="5"/>
    <n v="5"/>
    <n v="4"/>
    <n v="1"/>
    <n v="0"/>
  </r>
  <r>
    <x v="64"/>
    <x v="2"/>
    <n v="24"/>
    <n v="24"/>
    <n v="20"/>
    <n v="4"/>
    <n v="0"/>
  </r>
  <r>
    <x v="64"/>
    <x v="2"/>
    <n v="19"/>
    <n v="17"/>
    <n v="17"/>
    <n v="0"/>
    <n v="0"/>
  </r>
  <r>
    <x v="64"/>
    <x v="3"/>
    <n v="68"/>
    <n v="67"/>
    <n v="64"/>
    <n v="3"/>
    <n v="0"/>
  </r>
  <r>
    <x v="64"/>
    <x v="3"/>
    <n v="29"/>
    <n v="29"/>
    <n v="26"/>
    <n v="3"/>
    <n v="0"/>
  </r>
  <r>
    <x v="64"/>
    <x v="4"/>
    <n v="81"/>
    <n v="79"/>
    <n v="71"/>
    <n v="8"/>
    <n v="0"/>
  </r>
  <r>
    <x v="64"/>
    <x v="4"/>
    <n v="59"/>
    <n v="53"/>
    <n v="49"/>
    <n v="4"/>
    <n v="0"/>
  </r>
  <r>
    <x v="64"/>
    <x v="5"/>
    <n v="71"/>
    <n v="70"/>
    <n v="65"/>
    <n v="5"/>
    <n v="0"/>
  </r>
  <r>
    <x v="64"/>
    <x v="5"/>
    <n v="24"/>
    <n v="24"/>
    <n v="21"/>
    <n v="3"/>
    <n v="0"/>
  </r>
  <r>
    <x v="64"/>
    <x v="6"/>
    <n v="35"/>
    <n v="35"/>
    <n v="35"/>
    <n v="0"/>
    <n v="0"/>
  </r>
  <r>
    <x v="64"/>
    <x v="6"/>
    <n v="12"/>
    <n v="12"/>
    <n v="12"/>
    <n v="0"/>
    <n v="0"/>
  </r>
  <r>
    <x v="64"/>
    <x v="7"/>
    <n v="17"/>
    <n v="17"/>
    <n v="14"/>
    <n v="3"/>
    <n v="0"/>
  </r>
  <r>
    <x v="64"/>
    <x v="7"/>
    <n v="4"/>
    <n v="3"/>
    <n v="3"/>
    <n v="0"/>
    <n v="0"/>
  </r>
  <r>
    <x v="64"/>
    <x v="8"/>
    <n v="37"/>
    <n v="37"/>
    <n v="35"/>
    <n v="2"/>
    <n v="0"/>
  </r>
  <r>
    <x v="64"/>
    <x v="8"/>
    <n v="10"/>
    <n v="9"/>
    <n v="8"/>
    <n v="1"/>
    <n v="0"/>
  </r>
  <r>
    <x v="64"/>
    <x v="9"/>
    <n v="21"/>
    <n v="21"/>
    <n v="21"/>
    <n v="0"/>
    <n v="0"/>
  </r>
  <r>
    <x v="64"/>
    <x v="9"/>
    <n v="7"/>
    <n v="7"/>
    <n v="7"/>
    <n v="0"/>
    <n v="0"/>
  </r>
  <r>
    <x v="64"/>
    <x v="10"/>
    <n v="81"/>
    <n v="79"/>
    <n v="75"/>
    <n v="4"/>
    <n v="0"/>
  </r>
  <r>
    <x v="64"/>
    <x v="10"/>
    <n v="29"/>
    <n v="29"/>
    <n v="27"/>
    <n v="2"/>
    <n v="0"/>
  </r>
  <r>
    <x v="64"/>
    <x v="11"/>
    <n v="15"/>
    <n v="15"/>
    <n v="15"/>
    <n v="0"/>
    <n v="0"/>
  </r>
  <r>
    <x v="64"/>
    <x v="11"/>
    <n v="12"/>
    <n v="9"/>
    <n v="8"/>
    <n v="1"/>
    <n v="0"/>
  </r>
  <r>
    <x v="65"/>
    <x v="0"/>
    <n v="3"/>
    <n v="3"/>
    <n v="2"/>
    <n v="1"/>
    <n v="0"/>
  </r>
  <r>
    <x v="65"/>
    <x v="0"/>
    <n v="3"/>
    <n v="3"/>
    <n v="3"/>
    <n v="0"/>
    <n v="0"/>
  </r>
  <r>
    <x v="65"/>
    <x v="12"/>
    <n v="1"/>
    <n v="0"/>
    <n v="0"/>
    <n v="0"/>
    <n v="0"/>
  </r>
  <r>
    <x v="65"/>
    <x v="2"/>
    <n v="34"/>
    <n v="17"/>
    <n v="13"/>
    <n v="4"/>
    <n v="0"/>
  </r>
  <r>
    <x v="65"/>
    <x v="2"/>
    <n v="21"/>
    <n v="16"/>
    <n v="16"/>
    <n v="0"/>
    <n v="0"/>
  </r>
  <r>
    <x v="65"/>
    <x v="3"/>
    <n v="24"/>
    <n v="20"/>
    <n v="17"/>
    <n v="3"/>
    <n v="0"/>
  </r>
  <r>
    <x v="65"/>
    <x v="3"/>
    <n v="11"/>
    <n v="8"/>
    <n v="8"/>
    <n v="0"/>
    <n v="0"/>
  </r>
  <r>
    <x v="65"/>
    <x v="4"/>
    <n v="50"/>
    <n v="49"/>
    <n v="43"/>
    <n v="6"/>
    <n v="0"/>
  </r>
  <r>
    <x v="65"/>
    <x v="4"/>
    <n v="19"/>
    <n v="17"/>
    <n v="16"/>
    <n v="1"/>
    <n v="0"/>
  </r>
  <r>
    <x v="65"/>
    <x v="5"/>
    <n v="74"/>
    <n v="70"/>
    <n v="62"/>
    <n v="8"/>
    <n v="1"/>
  </r>
  <r>
    <x v="65"/>
    <x v="5"/>
    <n v="54"/>
    <n v="47"/>
    <n v="47"/>
    <n v="0"/>
    <n v="0"/>
  </r>
  <r>
    <x v="65"/>
    <x v="6"/>
    <n v="4"/>
    <n v="4"/>
    <n v="4"/>
    <n v="0"/>
    <n v="0"/>
  </r>
  <r>
    <x v="65"/>
    <x v="6"/>
    <n v="1"/>
    <n v="1"/>
    <n v="1"/>
    <n v="0"/>
    <n v="0"/>
  </r>
  <r>
    <x v="65"/>
    <x v="7"/>
    <n v="6"/>
    <n v="5"/>
    <n v="5"/>
    <n v="0"/>
    <n v="0"/>
  </r>
  <r>
    <x v="65"/>
    <x v="7"/>
    <n v="2"/>
    <n v="2"/>
    <n v="2"/>
    <n v="0"/>
    <n v="0"/>
  </r>
  <r>
    <x v="65"/>
    <x v="8"/>
    <n v="5"/>
    <n v="5"/>
    <n v="5"/>
    <n v="0"/>
    <n v="0"/>
  </r>
  <r>
    <x v="65"/>
    <x v="8"/>
    <n v="8"/>
    <n v="5"/>
    <n v="3"/>
    <n v="2"/>
    <n v="0"/>
  </r>
  <r>
    <x v="65"/>
    <x v="9"/>
    <n v="5"/>
    <n v="4"/>
    <n v="3"/>
    <n v="1"/>
    <n v="0"/>
  </r>
  <r>
    <x v="65"/>
    <x v="9"/>
    <n v="4"/>
    <n v="3"/>
    <n v="3"/>
    <n v="0"/>
    <n v="0"/>
  </r>
  <r>
    <x v="65"/>
    <x v="10"/>
    <n v="74"/>
    <n v="58"/>
    <n v="48"/>
    <n v="10"/>
    <n v="0"/>
  </r>
  <r>
    <x v="65"/>
    <x v="10"/>
    <n v="51"/>
    <n v="33"/>
    <n v="31"/>
    <n v="2"/>
    <n v="0"/>
  </r>
  <r>
    <x v="65"/>
    <x v="11"/>
    <n v="15"/>
    <n v="10"/>
    <n v="10"/>
    <n v="0"/>
    <n v="0"/>
  </r>
  <r>
    <x v="65"/>
    <x v="11"/>
    <n v="11"/>
    <n v="8"/>
    <n v="8"/>
    <n v="0"/>
    <n v="0"/>
  </r>
  <r>
    <x v="66"/>
    <x v="0"/>
    <n v="2"/>
    <n v="2"/>
    <n v="2"/>
    <n v="0"/>
    <n v="0"/>
  </r>
  <r>
    <x v="66"/>
    <x v="0"/>
    <n v="2"/>
    <n v="1"/>
    <n v="1"/>
    <n v="0"/>
    <n v="0"/>
  </r>
  <r>
    <x v="66"/>
    <x v="2"/>
    <n v="33"/>
    <n v="33"/>
    <n v="27"/>
    <n v="6"/>
    <n v="0"/>
  </r>
  <r>
    <x v="66"/>
    <x v="2"/>
    <n v="17"/>
    <n v="14"/>
    <n v="12"/>
    <n v="2"/>
    <n v="0"/>
  </r>
  <r>
    <x v="66"/>
    <x v="3"/>
    <n v="53"/>
    <n v="51"/>
    <n v="36"/>
    <n v="15"/>
    <n v="0"/>
  </r>
  <r>
    <x v="66"/>
    <x v="3"/>
    <n v="48"/>
    <n v="43"/>
    <n v="39"/>
    <n v="4"/>
    <n v="0"/>
  </r>
  <r>
    <x v="66"/>
    <x v="4"/>
    <n v="48"/>
    <n v="43"/>
    <n v="43"/>
    <n v="0"/>
    <n v="0"/>
  </r>
  <r>
    <x v="66"/>
    <x v="4"/>
    <n v="52"/>
    <n v="45"/>
    <n v="42"/>
    <n v="3"/>
    <n v="0"/>
  </r>
  <r>
    <x v="66"/>
    <x v="13"/>
    <n v="1"/>
    <n v="1"/>
    <n v="0"/>
    <n v="1"/>
    <n v="0"/>
  </r>
  <r>
    <x v="66"/>
    <x v="5"/>
    <n v="88"/>
    <n v="88"/>
    <n v="73"/>
    <n v="15"/>
    <n v="0"/>
  </r>
  <r>
    <x v="66"/>
    <x v="5"/>
    <n v="94"/>
    <n v="86"/>
    <n v="74"/>
    <n v="12"/>
    <n v="1"/>
  </r>
  <r>
    <x v="66"/>
    <x v="6"/>
    <n v="122"/>
    <n v="116"/>
    <n v="116"/>
    <n v="0"/>
    <n v="0"/>
  </r>
  <r>
    <x v="66"/>
    <x v="6"/>
    <n v="82"/>
    <n v="75"/>
    <n v="74"/>
    <n v="1"/>
    <n v="0"/>
  </r>
  <r>
    <x v="66"/>
    <x v="8"/>
    <n v="17"/>
    <n v="17"/>
    <n v="9"/>
    <n v="8"/>
    <n v="0"/>
  </r>
  <r>
    <x v="66"/>
    <x v="8"/>
    <n v="3"/>
    <n v="1"/>
    <n v="1"/>
    <n v="0"/>
    <n v="0"/>
  </r>
  <r>
    <x v="66"/>
    <x v="9"/>
    <n v="2"/>
    <n v="2"/>
    <n v="2"/>
    <n v="0"/>
    <n v="0"/>
  </r>
  <r>
    <x v="66"/>
    <x v="10"/>
    <n v="108"/>
    <n v="108"/>
    <n v="107"/>
    <n v="1"/>
    <n v="0"/>
  </r>
  <r>
    <x v="66"/>
    <x v="10"/>
    <n v="75"/>
    <n v="70"/>
    <n v="66"/>
    <n v="4"/>
    <n v="0"/>
  </r>
  <r>
    <x v="66"/>
    <x v="11"/>
    <n v="17"/>
    <n v="17"/>
    <n v="10"/>
    <n v="7"/>
    <n v="0"/>
  </r>
  <r>
    <x v="66"/>
    <x v="11"/>
    <n v="7"/>
    <n v="6"/>
    <n v="6"/>
    <n v="0"/>
    <n v="0"/>
  </r>
  <r>
    <x v="67"/>
    <x v="0"/>
    <n v="2"/>
    <n v="2"/>
    <n v="2"/>
    <n v="0"/>
    <n v="0"/>
  </r>
  <r>
    <x v="67"/>
    <x v="0"/>
    <n v="2"/>
    <n v="1"/>
    <n v="0"/>
    <n v="1"/>
    <n v="0"/>
  </r>
  <r>
    <x v="67"/>
    <x v="2"/>
    <n v="5"/>
    <n v="5"/>
    <n v="5"/>
    <n v="0"/>
    <n v="0"/>
  </r>
  <r>
    <x v="67"/>
    <x v="2"/>
    <n v="1"/>
    <n v="1"/>
    <n v="1"/>
    <n v="0"/>
    <n v="0"/>
  </r>
  <r>
    <x v="67"/>
    <x v="3"/>
    <n v="18"/>
    <n v="18"/>
    <n v="13"/>
    <n v="5"/>
    <n v="0"/>
  </r>
  <r>
    <x v="67"/>
    <x v="3"/>
    <n v="13"/>
    <n v="13"/>
    <n v="9"/>
    <n v="4"/>
    <n v="0"/>
  </r>
  <r>
    <x v="67"/>
    <x v="4"/>
    <n v="24"/>
    <n v="22"/>
    <n v="20"/>
    <n v="2"/>
    <n v="0"/>
  </r>
  <r>
    <x v="67"/>
    <x v="4"/>
    <n v="20"/>
    <n v="19"/>
    <n v="17"/>
    <n v="2"/>
    <n v="0"/>
  </r>
  <r>
    <x v="67"/>
    <x v="5"/>
    <n v="43"/>
    <n v="43"/>
    <n v="39"/>
    <n v="4"/>
    <n v="0"/>
  </r>
  <r>
    <x v="67"/>
    <x v="5"/>
    <n v="25"/>
    <n v="25"/>
    <n v="20"/>
    <n v="5"/>
    <n v="0"/>
  </r>
  <r>
    <x v="67"/>
    <x v="6"/>
    <n v="5"/>
    <n v="5"/>
    <n v="5"/>
    <n v="0"/>
    <n v="0"/>
  </r>
  <r>
    <x v="67"/>
    <x v="6"/>
    <n v="1"/>
    <n v="1"/>
    <n v="1"/>
    <n v="0"/>
    <n v="0"/>
  </r>
  <r>
    <x v="67"/>
    <x v="7"/>
    <n v="5"/>
    <n v="5"/>
    <n v="4"/>
    <n v="1"/>
    <n v="0"/>
  </r>
  <r>
    <x v="67"/>
    <x v="8"/>
    <n v="6"/>
    <n v="6"/>
    <n v="5"/>
    <n v="1"/>
    <n v="0"/>
  </r>
  <r>
    <x v="67"/>
    <x v="8"/>
    <n v="2"/>
    <n v="2"/>
    <n v="2"/>
    <n v="0"/>
    <n v="0"/>
  </r>
  <r>
    <x v="67"/>
    <x v="9"/>
    <n v="5"/>
    <n v="5"/>
    <n v="5"/>
    <n v="0"/>
    <n v="0"/>
  </r>
  <r>
    <x v="67"/>
    <x v="10"/>
    <n v="32"/>
    <n v="32"/>
    <n v="30"/>
    <n v="2"/>
    <n v="0"/>
  </r>
  <r>
    <x v="67"/>
    <x v="10"/>
    <n v="23"/>
    <n v="23"/>
    <n v="18"/>
    <n v="5"/>
    <n v="0"/>
  </r>
  <r>
    <x v="67"/>
    <x v="11"/>
    <n v="7"/>
    <n v="6"/>
    <n v="5"/>
    <n v="1"/>
    <n v="0"/>
  </r>
  <r>
    <x v="67"/>
    <x v="11"/>
    <n v="4"/>
    <n v="4"/>
    <n v="4"/>
    <n v="0"/>
    <n v="0"/>
  </r>
  <r>
    <x v="68"/>
    <x v="0"/>
    <n v="1"/>
    <n v="1"/>
    <n v="1"/>
    <n v="0"/>
    <n v="0"/>
  </r>
  <r>
    <x v="68"/>
    <x v="12"/>
    <n v="1"/>
    <n v="0"/>
    <n v="0"/>
    <n v="0"/>
    <n v="0"/>
  </r>
  <r>
    <x v="68"/>
    <x v="2"/>
    <n v="9"/>
    <n v="9"/>
    <n v="8"/>
    <n v="1"/>
    <n v="0"/>
  </r>
  <r>
    <x v="68"/>
    <x v="2"/>
    <n v="10"/>
    <n v="10"/>
    <n v="9"/>
    <n v="1"/>
    <n v="0"/>
  </r>
  <r>
    <x v="68"/>
    <x v="3"/>
    <n v="35"/>
    <n v="34"/>
    <n v="32"/>
    <n v="2"/>
    <n v="0"/>
  </r>
  <r>
    <x v="68"/>
    <x v="3"/>
    <n v="37"/>
    <n v="37"/>
    <n v="31"/>
    <n v="6"/>
    <n v="1"/>
  </r>
  <r>
    <x v="68"/>
    <x v="4"/>
    <n v="27"/>
    <n v="27"/>
    <n v="26"/>
    <n v="1"/>
    <n v="0"/>
  </r>
  <r>
    <x v="68"/>
    <x v="4"/>
    <n v="31"/>
    <n v="26"/>
    <n v="22"/>
    <n v="4"/>
    <n v="1"/>
  </r>
  <r>
    <x v="68"/>
    <x v="5"/>
    <n v="50"/>
    <n v="50"/>
    <n v="48"/>
    <n v="2"/>
    <n v="0"/>
  </r>
  <r>
    <x v="68"/>
    <x v="5"/>
    <n v="32"/>
    <n v="30"/>
    <n v="28"/>
    <n v="2"/>
    <n v="0"/>
  </r>
  <r>
    <x v="68"/>
    <x v="6"/>
    <n v="13"/>
    <n v="13"/>
    <n v="13"/>
    <n v="0"/>
    <n v="0"/>
  </r>
  <r>
    <x v="68"/>
    <x v="6"/>
    <n v="5"/>
    <n v="5"/>
    <n v="5"/>
    <n v="0"/>
    <n v="0"/>
  </r>
  <r>
    <x v="68"/>
    <x v="8"/>
    <n v="13"/>
    <n v="13"/>
    <n v="13"/>
    <n v="0"/>
    <n v="0"/>
  </r>
  <r>
    <x v="68"/>
    <x v="8"/>
    <n v="9"/>
    <n v="9"/>
    <n v="9"/>
    <n v="0"/>
    <n v="0"/>
  </r>
  <r>
    <x v="68"/>
    <x v="9"/>
    <n v="6"/>
    <n v="6"/>
    <n v="6"/>
    <n v="0"/>
    <n v="0"/>
  </r>
  <r>
    <x v="68"/>
    <x v="10"/>
    <n v="57"/>
    <n v="57"/>
    <n v="56"/>
    <n v="1"/>
    <n v="0"/>
  </r>
  <r>
    <x v="68"/>
    <x v="10"/>
    <n v="31"/>
    <n v="31"/>
    <n v="29"/>
    <n v="2"/>
    <n v="0"/>
  </r>
  <r>
    <x v="68"/>
    <x v="11"/>
    <n v="5"/>
    <n v="5"/>
    <n v="5"/>
    <n v="0"/>
    <n v="0"/>
  </r>
  <r>
    <x v="68"/>
    <x v="11"/>
    <n v="6"/>
    <n v="6"/>
    <n v="5"/>
    <n v="1"/>
    <n v="0"/>
  </r>
  <r>
    <x v="69"/>
    <x v="0"/>
    <n v="11"/>
    <n v="10"/>
    <n v="7"/>
    <n v="3"/>
    <n v="0"/>
  </r>
  <r>
    <x v="69"/>
    <x v="16"/>
    <n v="3"/>
    <n v="0"/>
    <n v="0"/>
    <n v="0"/>
    <n v="0"/>
  </r>
  <r>
    <x v="69"/>
    <x v="12"/>
    <n v="1"/>
    <n v="0"/>
    <n v="0"/>
    <n v="0"/>
    <n v="0"/>
  </r>
  <r>
    <x v="69"/>
    <x v="2"/>
    <n v="12"/>
    <n v="12"/>
    <n v="9"/>
    <n v="3"/>
    <n v="0"/>
  </r>
  <r>
    <x v="69"/>
    <x v="2"/>
    <n v="11"/>
    <n v="11"/>
    <n v="10"/>
    <n v="1"/>
    <n v="0"/>
  </r>
  <r>
    <x v="69"/>
    <x v="3"/>
    <n v="25"/>
    <n v="25"/>
    <n v="23"/>
    <n v="2"/>
    <n v="0"/>
  </r>
  <r>
    <x v="69"/>
    <x v="3"/>
    <n v="15"/>
    <n v="15"/>
    <n v="14"/>
    <n v="1"/>
    <n v="0"/>
  </r>
  <r>
    <x v="69"/>
    <x v="4"/>
    <n v="32"/>
    <n v="30"/>
    <n v="22"/>
    <n v="8"/>
    <n v="0"/>
  </r>
  <r>
    <x v="69"/>
    <x v="4"/>
    <n v="30"/>
    <n v="28"/>
    <n v="25"/>
    <n v="3"/>
    <n v="0"/>
  </r>
  <r>
    <x v="69"/>
    <x v="13"/>
    <n v="3"/>
    <n v="3"/>
    <n v="3"/>
    <n v="0"/>
    <n v="0"/>
  </r>
  <r>
    <x v="69"/>
    <x v="5"/>
    <n v="32"/>
    <n v="32"/>
    <n v="26"/>
    <n v="6"/>
    <n v="0"/>
  </r>
  <r>
    <x v="69"/>
    <x v="5"/>
    <n v="22"/>
    <n v="21"/>
    <n v="18"/>
    <n v="3"/>
    <n v="0"/>
  </r>
  <r>
    <x v="69"/>
    <x v="6"/>
    <n v="9"/>
    <n v="8"/>
    <n v="8"/>
    <n v="0"/>
    <n v="0"/>
  </r>
  <r>
    <x v="69"/>
    <x v="6"/>
    <n v="10"/>
    <n v="8"/>
    <n v="8"/>
    <n v="0"/>
    <n v="0"/>
  </r>
  <r>
    <x v="69"/>
    <x v="7"/>
    <n v="4"/>
    <n v="3"/>
    <n v="3"/>
    <n v="0"/>
    <n v="0"/>
  </r>
  <r>
    <x v="69"/>
    <x v="7"/>
    <n v="2"/>
    <n v="2"/>
    <n v="2"/>
    <n v="0"/>
    <n v="0"/>
  </r>
  <r>
    <x v="69"/>
    <x v="8"/>
    <n v="17"/>
    <n v="4"/>
    <n v="0"/>
    <n v="4"/>
    <n v="0"/>
  </r>
  <r>
    <x v="69"/>
    <x v="8"/>
    <n v="9"/>
    <n v="6"/>
    <n v="1"/>
    <n v="5"/>
    <n v="0"/>
  </r>
  <r>
    <x v="69"/>
    <x v="9"/>
    <n v="6"/>
    <n v="0"/>
    <n v="0"/>
    <n v="0"/>
    <n v="0"/>
  </r>
  <r>
    <x v="69"/>
    <x v="9"/>
    <n v="6"/>
    <n v="4"/>
    <n v="2"/>
    <n v="2"/>
    <n v="0"/>
  </r>
  <r>
    <x v="69"/>
    <x v="10"/>
    <n v="42"/>
    <n v="42"/>
    <n v="39"/>
    <n v="3"/>
    <n v="0"/>
  </r>
  <r>
    <x v="69"/>
    <x v="10"/>
    <n v="21"/>
    <n v="21"/>
    <n v="20"/>
    <n v="1"/>
    <n v="0"/>
  </r>
  <r>
    <x v="69"/>
    <x v="11"/>
    <n v="14"/>
    <n v="13"/>
    <n v="13"/>
    <n v="0"/>
    <n v="0"/>
  </r>
  <r>
    <x v="69"/>
    <x v="11"/>
    <n v="8"/>
    <n v="6"/>
    <n v="6"/>
    <n v="0"/>
    <n v="0"/>
  </r>
  <r>
    <x v="70"/>
    <x v="0"/>
    <n v="4"/>
    <n v="2"/>
    <n v="2"/>
    <n v="0"/>
    <n v="0"/>
  </r>
  <r>
    <x v="70"/>
    <x v="0"/>
    <n v="5"/>
    <n v="4"/>
    <n v="4"/>
    <n v="0"/>
    <n v="0"/>
  </r>
  <r>
    <x v="70"/>
    <x v="12"/>
    <n v="5"/>
    <n v="0"/>
    <n v="0"/>
    <n v="0"/>
    <n v="0"/>
  </r>
  <r>
    <x v="70"/>
    <x v="2"/>
    <n v="38"/>
    <n v="38"/>
    <n v="30"/>
    <n v="8"/>
    <n v="0"/>
  </r>
  <r>
    <x v="70"/>
    <x v="2"/>
    <n v="19"/>
    <n v="18"/>
    <n v="17"/>
    <n v="1"/>
    <n v="0"/>
  </r>
  <r>
    <x v="70"/>
    <x v="3"/>
    <n v="48"/>
    <n v="48"/>
    <n v="41"/>
    <n v="7"/>
    <n v="0"/>
  </r>
  <r>
    <x v="70"/>
    <x v="3"/>
    <n v="36"/>
    <n v="36"/>
    <n v="35"/>
    <n v="1"/>
    <n v="0"/>
  </r>
  <r>
    <x v="70"/>
    <x v="4"/>
    <n v="76"/>
    <n v="72"/>
    <n v="65"/>
    <n v="7"/>
    <n v="0"/>
  </r>
  <r>
    <x v="70"/>
    <x v="4"/>
    <n v="55"/>
    <n v="55"/>
    <n v="45"/>
    <n v="10"/>
    <n v="0"/>
  </r>
  <r>
    <x v="70"/>
    <x v="13"/>
    <n v="2"/>
    <n v="2"/>
    <n v="1"/>
    <n v="1"/>
    <n v="0"/>
  </r>
  <r>
    <x v="70"/>
    <x v="5"/>
    <n v="118"/>
    <n v="117"/>
    <n v="107"/>
    <n v="10"/>
    <n v="0"/>
  </r>
  <r>
    <x v="70"/>
    <x v="5"/>
    <n v="76"/>
    <n v="75"/>
    <n v="69"/>
    <n v="6"/>
    <n v="1"/>
  </r>
  <r>
    <x v="70"/>
    <x v="6"/>
    <n v="71"/>
    <n v="71"/>
    <n v="71"/>
    <n v="0"/>
    <n v="0"/>
  </r>
  <r>
    <x v="70"/>
    <x v="6"/>
    <n v="11"/>
    <n v="11"/>
    <n v="11"/>
    <n v="0"/>
    <n v="0"/>
  </r>
  <r>
    <x v="70"/>
    <x v="7"/>
    <n v="9"/>
    <n v="8"/>
    <n v="6"/>
    <n v="2"/>
    <n v="0"/>
  </r>
  <r>
    <x v="70"/>
    <x v="7"/>
    <n v="13"/>
    <n v="13"/>
    <n v="7"/>
    <n v="6"/>
    <n v="0"/>
  </r>
  <r>
    <x v="70"/>
    <x v="8"/>
    <n v="32"/>
    <n v="32"/>
    <n v="28"/>
    <n v="4"/>
    <n v="0"/>
  </r>
  <r>
    <x v="70"/>
    <x v="8"/>
    <n v="9"/>
    <n v="9"/>
    <n v="9"/>
    <n v="0"/>
    <n v="0"/>
  </r>
  <r>
    <x v="70"/>
    <x v="9"/>
    <n v="16"/>
    <n v="16"/>
    <n v="14"/>
    <n v="2"/>
    <n v="0"/>
  </r>
  <r>
    <x v="70"/>
    <x v="9"/>
    <n v="5"/>
    <n v="5"/>
    <n v="5"/>
    <n v="0"/>
    <n v="0"/>
  </r>
  <r>
    <x v="70"/>
    <x v="10"/>
    <n v="63"/>
    <n v="63"/>
    <n v="63"/>
    <n v="0"/>
    <n v="0"/>
  </r>
  <r>
    <x v="70"/>
    <x v="10"/>
    <n v="46"/>
    <n v="46"/>
    <n v="40"/>
    <n v="6"/>
    <n v="0"/>
  </r>
  <r>
    <x v="70"/>
    <x v="11"/>
    <n v="30"/>
    <n v="30"/>
    <n v="25"/>
    <n v="5"/>
    <n v="0"/>
  </r>
  <r>
    <x v="70"/>
    <x v="11"/>
    <n v="12"/>
    <n v="11"/>
    <n v="11"/>
    <n v="0"/>
    <n v="0"/>
  </r>
  <r>
    <x v="71"/>
    <x v="0"/>
    <n v="1"/>
    <n v="1"/>
    <n v="1"/>
    <n v="0"/>
    <n v="0"/>
  </r>
  <r>
    <x v="71"/>
    <x v="1"/>
    <n v="1"/>
    <n v="0"/>
    <n v="0"/>
    <n v="0"/>
    <n v="0"/>
  </r>
  <r>
    <x v="71"/>
    <x v="2"/>
    <n v="18"/>
    <n v="17"/>
    <n v="14"/>
    <n v="3"/>
    <n v="0"/>
  </r>
  <r>
    <x v="71"/>
    <x v="2"/>
    <n v="6"/>
    <n v="6"/>
    <n v="6"/>
    <n v="0"/>
    <n v="0"/>
  </r>
  <r>
    <x v="71"/>
    <x v="3"/>
    <n v="14"/>
    <n v="14"/>
    <n v="12"/>
    <n v="2"/>
    <n v="0"/>
  </r>
  <r>
    <x v="71"/>
    <x v="3"/>
    <n v="17"/>
    <n v="16"/>
    <n v="14"/>
    <n v="2"/>
    <n v="0"/>
  </r>
  <r>
    <x v="71"/>
    <x v="4"/>
    <n v="23"/>
    <n v="20"/>
    <n v="19"/>
    <n v="1"/>
    <n v="0"/>
  </r>
  <r>
    <x v="71"/>
    <x v="4"/>
    <n v="28"/>
    <n v="27"/>
    <n v="27"/>
    <n v="0"/>
    <n v="0"/>
  </r>
  <r>
    <x v="71"/>
    <x v="5"/>
    <n v="19"/>
    <n v="18"/>
    <n v="15"/>
    <n v="3"/>
    <n v="0"/>
  </r>
  <r>
    <x v="71"/>
    <x v="5"/>
    <n v="23"/>
    <n v="21"/>
    <n v="20"/>
    <n v="1"/>
    <n v="0"/>
  </r>
  <r>
    <x v="71"/>
    <x v="6"/>
    <n v="1"/>
    <n v="1"/>
    <n v="1"/>
    <n v="0"/>
    <n v="0"/>
  </r>
  <r>
    <x v="71"/>
    <x v="6"/>
    <n v="4"/>
    <n v="4"/>
    <n v="4"/>
    <n v="0"/>
    <n v="0"/>
  </r>
  <r>
    <x v="71"/>
    <x v="8"/>
    <n v="6"/>
    <n v="6"/>
    <n v="6"/>
    <n v="0"/>
    <n v="0"/>
  </r>
  <r>
    <x v="71"/>
    <x v="8"/>
    <n v="5"/>
    <n v="5"/>
    <n v="5"/>
    <n v="0"/>
    <n v="0"/>
  </r>
  <r>
    <x v="71"/>
    <x v="9"/>
    <n v="4"/>
    <n v="4"/>
    <n v="4"/>
    <n v="0"/>
    <n v="0"/>
  </r>
  <r>
    <x v="71"/>
    <x v="9"/>
    <n v="4"/>
    <n v="4"/>
    <n v="4"/>
    <n v="0"/>
    <n v="0"/>
  </r>
  <r>
    <x v="71"/>
    <x v="10"/>
    <n v="12"/>
    <n v="12"/>
    <n v="12"/>
    <n v="0"/>
    <n v="0"/>
  </r>
  <r>
    <x v="71"/>
    <x v="10"/>
    <n v="15"/>
    <n v="15"/>
    <n v="12"/>
    <n v="3"/>
    <n v="0"/>
  </r>
  <r>
    <x v="71"/>
    <x v="11"/>
    <n v="12"/>
    <n v="12"/>
    <n v="11"/>
    <n v="1"/>
    <n v="0"/>
  </r>
  <r>
    <x v="71"/>
    <x v="11"/>
    <n v="6"/>
    <n v="6"/>
    <n v="5"/>
    <n v="1"/>
    <n v="0"/>
  </r>
  <r>
    <x v="72"/>
    <x v="0"/>
    <n v="1"/>
    <n v="1"/>
    <n v="1"/>
    <n v="0"/>
    <n v="0"/>
  </r>
  <r>
    <x v="72"/>
    <x v="0"/>
    <n v="3"/>
    <n v="3"/>
    <n v="3"/>
    <n v="0"/>
    <n v="0"/>
  </r>
  <r>
    <x v="72"/>
    <x v="2"/>
    <n v="21"/>
    <n v="21"/>
    <n v="21"/>
    <n v="0"/>
    <n v="0"/>
  </r>
  <r>
    <x v="72"/>
    <x v="2"/>
    <n v="9"/>
    <n v="8"/>
    <n v="8"/>
    <n v="0"/>
    <n v="0"/>
  </r>
  <r>
    <x v="72"/>
    <x v="3"/>
    <n v="11"/>
    <n v="11"/>
    <n v="11"/>
    <n v="0"/>
    <n v="0"/>
  </r>
  <r>
    <x v="72"/>
    <x v="3"/>
    <n v="10"/>
    <n v="10"/>
    <n v="10"/>
    <n v="0"/>
    <n v="0"/>
  </r>
  <r>
    <x v="72"/>
    <x v="4"/>
    <n v="20"/>
    <n v="18"/>
    <n v="17"/>
    <n v="1"/>
    <n v="0"/>
  </r>
  <r>
    <x v="72"/>
    <x v="4"/>
    <n v="22"/>
    <n v="21"/>
    <n v="18"/>
    <n v="3"/>
    <n v="0"/>
  </r>
  <r>
    <x v="72"/>
    <x v="5"/>
    <n v="32"/>
    <n v="32"/>
    <n v="32"/>
    <n v="0"/>
    <n v="0"/>
  </r>
  <r>
    <x v="72"/>
    <x v="5"/>
    <n v="29"/>
    <n v="29"/>
    <n v="28"/>
    <n v="1"/>
    <n v="0"/>
  </r>
  <r>
    <x v="72"/>
    <x v="6"/>
    <n v="16"/>
    <n v="16"/>
    <n v="16"/>
    <n v="0"/>
    <n v="0"/>
  </r>
  <r>
    <x v="72"/>
    <x v="6"/>
    <n v="4"/>
    <n v="4"/>
    <n v="4"/>
    <n v="0"/>
    <n v="0"/>
  </r>
  <r>
    <x v="72"/>
    <x v="8"/>
    <n v="6"/>
    <n v="6"/>
    <n v="6"/>
    <n v="0"/>
    <n v="0"/>
  </r>
  <r>
    <x v="72"/>
    <x v="8"/>
    <n v="4"/>
    <n v="4"/>
    <n v="4"/>
    <n v="0"/>
    <n v="0"/>
  </r>
  <r>
    <x v="72"/>
    <x v="9"/>
    <n v="4"/>
    <n v="4"/>
    <n v="4"/>
    <n v="0"/>
    <n v="0"/>
  </r>
  <r>
    <x v="72"/>
    <x v="9"/>
    <n v="3"/>
    <n v="3"/>
    <n v="3"/>
    <n v="0"/>
    <n v="0"/>
  </r>
  <r>
    <x v="72"/>
    <x v="10"/>
    <n v="16"/>
    <n v="16"/>
    <n v="16"/>
    <n v="0"/>
    <n v="0"/>
  </r>
  <r>
    <x v="72"/>
    <x v="10"/>
    <n v="10"/>
    <n v="10"/>
    <n v="10"/>
    <n v="0"/>
    <n v="0"/>
  </r>
  <r>
    <x v="72"/>
    <x v="11"/>
    <n v="15"/>
    <n v="15"/>
    <n v="14"/>
    <n v="1"/>
    <n v="0"/>
  </r>
  <r>
    <x v="72"/>
    <x v="11"/>
    <n v="5"/>
    <n v="5"/>
    <n v="5"/>
    <n v="0"/>
    <n v="0"/>
  </r>
  <r>
    <x v="73"/>
    <x v="2"/>
    <n v="6"/>
    <n v="6"/>
    <n v="4"/>
    <n v="2"/>
    <n v="0"/>
  </r>
  <r>
    <x v="73"/>
    <x v="2"/>
    <n v="3"/>
    <n v="3"/>
    <n v="3"/>
    <n v="0"/>
    <n v="0"/>
  </r>
  <r>
    <x v="73"/>
    <x v="3"/>
    <n v="24"/>
    <n v="23"/>
    <n v="20"/>
    <n v="3"/>
    <n v="0"/>
  </r>
  <r>
    <x v="73"/>
    <x v="3"/>
    <n v="14"/>
    <n v="13"/>
    <n v="10"/>
    <n v="3"/>
    <n v="0"/>
  </r>
  <r>
    <x v="73"/>
    <x v="4"/>
    <n v="30"/>
    <n v="29"/>
    <n v="21"/>
    <n v="8"/>
    <n v="0"/>
  </r>
  <r>
    <x v="73"/>
    <x v="4"/>
    <n v="35"/>
    <n v="30"/>
    <n v="23"/>
    <n v="7"/>
    <n v="1"/>
  </r>
  <r>
    <x v="73"/>
    <x v="5"/>
    <n v="31"/>
    <n v="28"/>
    <n v="27"/>
    <n v="1"/>
    <n v="0"/>
  </r>
  <r>
    <x v="73"/>
    <x v="5"/>
    <n v="8"/>
    <n v="8"/>
    <n v="7"/>
    <n v="1"/>
    <n v="0"/>
  </r>
  <r>
    <x v="73"/>
    <x v="6"/>
    <n v="5"/>
    <n v="5"/>
    <n v="5"/>
    <n v="0"/>
    <n v="0"/>
  </r>
  <r>
    <x v="73"/>
    <x v="6"/>
    <n v="5"/>
    <n v="5"/>
    <n v="5"/>
    <n v="0"/>
    <n v="0"/>
  </r>
  <r>
    <x v="73"/>
    <x v="7"/>
    <n v="1"/>
    <n v="0"/>
    <n v="0"/>
    <n v="0"/>
    <n v="0"/>
  </r>
  <r>
    <x v="73"/>
    <x v="8"/>
    <n v="9"/>
    <n v="4"/>
    <n v="4"/>
    <n v="0"/>
    <n v="0"/>
  </r>
  <r>
    <x v="73"/>
    <x v="8"/>
    <n v="4"/>
    <n v="4"/>
    <n v="4"/>
    <n v="0"/>
    <n v="0"/>
  </r>
  <r>
    <x v="73"/>
    <x v="9"/>
    <n v="2"/>
    <n v="1"/>
    <n v="1"/>
    <n v="0"/>
    <n v="0"/>
  </r>
  <r>
    <x v="73"/>
    <x v="9"/>
    <n v="1"/>
    <n v="0"/>
    <n v="0"/>
    <n v="0"/>
    <n v="0"/>
  </r>
  <r>
    <x v="73"/>
    <x v="10"/>
    <n v="45"/>
    <n v="45"/>
    <n v="41"/>
    <n v="4"/>
    <n v="0"/>
  </r>
  <r>
    <x v="73"/>
    <x v="10"/>
    <n v="13"/>
    <n v="12"/>
    <n v="12"/>
    <n v="0"/>
    <n v="0"/>
  </r>
  <r>
    <x v="73"/>
    <x v="11"/>
    <n v="2"/>
    <n v="2"/>
    <n v="2"/>
    <n v="0"/>
    <n v="0"/>
  </r>
  <r>
    <x v="73"/>
    <x v="11"/>
    <n v="3"/>
    <n v="3"/>
    <n v="3"/>
    <n v="0"/>
    <n v="0"/>
  </r>
  <r>
    <x v="74"/>
    <x v="0"/>
    <n v="7"/>
    <n v="7"/>
    <n v="7"/>
    <n v="0"/>
    <n v="0"/>
  </r>
  <r>
    <x v="74"/>
    <x v="0"/>
    <n v="6"/>
    <n v="5"/>
    <n v="5"/>
    <n v="0"/>
    <n v="0"/>
  </r>
  <r>
    <x v="74"/>
    <x v="12"/>
    <n v="1"/>
    <n v="0"/>
    <n v="0"/>
    <n v="0"/>
    <n v="0"/>
  </r>
  <r>
    <x v="74"/>
    <x v="2"/>
    <n v="70"/>
    <n v="70"/>
    <n v="64"/>
    <n v="6"/>
    <n v="0"/>
  </r>
  <r>
    <x v="74"/>
    <x v="2"/>
    <n v="50"/>
    <n v="50"/>
    <n v="40"/>
    <n v="10"/>
    <n v="0"/>
  </r>
  <r>
    <x v="74"/>
    <x v="3"/>
    <n v="44"/>
    <n v="44"/>
    <n v="38"/>
    <n v="6"/>
    <n v="0"/>
  </r>
  <r>
    <x v="74"/>
    <x v="3"/>
    <n v="45"/>
    <n v="44"/>
    <n v="35"/>
    <n v="9"/>
    <n v="0"/>
  </r>
  <r>
    <x v="74"/>
    <x v="4"/>
    <n v="111"/>
    <n v="108"/>
    <n v="106"/>
    <n v="2"/>
    <n v="0"/>
  </r>
  <r>
    <x v="74"/>
    <x v="4"/>
    <n v="75"/>
    <n v="69"/>
    <n v="58"/>
    <n v="11"/>
    <n v="0"/>
  </r>
  <r>
    <x v="74"/>
    <x v="5"/>
    <n v="84"/>
    <n v="84"/>
    <n v="76"/>
    <n v="8"/>
    <n v="0"/>
  </r>
  <r>
    <x v="74"/>
    <x v="5"/>
    <n v="60"/>
    <n v="59"/>
    <n v="42"/>
    <n v="17"/>
    <n v="1"/>
  </r>
  <r>
    <x v="74"/>
    <x v="6"/>
    <n v="13"/>
    <n v="12"/>
    <n v="11"/>
    <n v="1"/>
    <n v="0"/>
  </r>
  <r>
    <x v="74"/>
    <x v="6"/>
    <n v="5"/>
    <n v="5"/>
    <n v="5"/>
    <n v="0"/>
    <n v="0"/>
  </r>
  <r>
    <x v="74"/>
    <x v="7"/>
    <n v="9"/>
    <n v="8"/>
    <n v="7"/>
    <n v="1"/>
    <n v="0"/>
  </r>
  <r>
    <x v="74"/>
    <x v="7"/>
    <n v="7"/>
    <n v="7"/>
    <n v="6"/>
    <n v="1"/>
    <n v="0"/>
  </r>
  <r>
    <x v="74"/>
    <x v="8"/>
    <n v="48"/>
    <n v="48"/>
    <n v="30"/>
    <n v="18"/>
    <n v="0"/>
  </r>
  <r>
    <x v="74"/>
    <x v="8"/>
    <n v="41"/>
    <n v="41"/>
    <n v="23"/>
    <n v="18"/>
    <n v="0"/>
  </r>
  <r>
    <x v="74"/>
    <x v="9"/>
    <n v="37"/>
    <n v="37"/>
    <n v="31"/>
    <n v="6"/>
    <n v="0"/>
  </r>
  <r>
    <x v="74"/>
    <x v="9"/>
    <n v="20"/>
    <n v="20"/>
    <n v="16"/>
    <n v="4"/>
    <n v="0"/>
  </r>
  <r>
    <x v="74"/>
    <x v="10"/>
    <n v="106"/>
    <n v="106"/>
    <n v="89"/>
    <n v="17"/>
    <n v="0"/>
  </r>
  <r>
    <x v="74"/>
    <x v="10"/>
    <n v="58"/>
    <n v="58"/>
    <n v="45"/>
    <n v="13"/>
    <n v="0"/>
  </r>
  <r>
    <x v="74"/>
    <x v="11"/>
    <n v="61"/>
    <n v="61"/>
    <n v="60"/>
    <n v="1"/>
    <n v="0"/>
  </r>
  <r>
    <x v="74"/>
    <x v="11"/>
    <n v="32"/>
    <n v="28"/>
    <n v="28"/>
    <n v="0"/>
    <n v="3"/>
  </r>
  <r>
    <x v="75"/>
    <x v="16"/>
    <n v="1"/>
    <n v="0"/>
    <n v="0"/>
    <n v="0"/>
    <n v="0"/>
  </r>
  <r>
    <x v="75"/>
    <x v="12"/>
    <n v="1"/>
    <n v="0"/>
    <n v="0"/>
    <n v="0"/>
    <n v="0"/>
  </r>
  <r>
    <x v="75"/>
    <x v="2"/>
    <n v="2"/>
    <n v="2"/>
    <n v="0"/>
    <n v="2"/>
    <n v="0"/>
  </r>
  <r>
    <x v="75"/>
    <x v="2"/>
    <n v="3"/>
    <n v="3"/>
    <n v="3"/>
    <n v="0"/>
    <n v="0"/>
  </r>
  <r>
    <x v="75"/>
    <x v="3"/>
    <n v="9"/>
    <n v="9"/>
    <n v="5"/>
    <n v="4"/>
    <n v="0"/>
  </r>
  <r>
    <x v="75"/>
    <x v="3"/>
    <n v="7"/>
    <n v="7"/>
    <n v="6"/>
    <n v="1"/>
    <n v="0"/>
  </r>
  <r>
    <x v="75"/>
    <x v="4"/>
    <n v="23"/>
    <n v="22"/>
    <n v="15"/>
    <n v="7"/>
    <n v="0"/>
  </r>
  <r>
    <x v="75"/>
    <x v="4"/>
    <n v="15"/>
    <n v="14"/>
    <n v="11"/>
    <n v="3"/>
    <n v="0"/>
  </r>
  <r>
    <x v="75"/>
    <x v="13"/>
    <n v="1"/>
    <n v="1"/>
    <n v="1"/>
    <n v="0"/>
    <n v="0"/>
  </r>
  <r>
    <x v="75"/>
    <x v="5"/>
    <n v="8"/>
    <n v="8"/>
    <n v="7"/>
    <n v="1"/>
    <n v="0"/>
  </r>
  <r>
    <x v="75"/>
    <x v="5"/>
    <n v="13"/>
    <n v="13"/>
    <n v="10"/>
    <n v="3"/>
    <n v="0"/>
  </r>
  <r>
    <x v="75"/>
    <x v="6"/>
    <n v="6"/>
    <n v="6"/>
    <n v="6"/>
    <n v="0"/>
    <n v="0"/>
  </r>
  <r>
    <x v="75"/>
    <x v="6"/>
    <n v="1"/>
    <n v="1"/>
    <n v="1"/>
    <n v="0"/>
    <n v="0"/>
  </r>
  <r>
    <x v="75"/>
    <x v="7"/>
    <n v="1"/>
    <n v="1"/>
    <n v="1"/>
    <n v="0"/>
    <n v="0"/>
  </r>
  <r>
    <x v="75"/>
    <x v="8"/>
    <n v="3"/>
    <n v="3"/>
    <n v="2"/>
    <n v="1"/>
    <n v="0"/>
  </r>
  <r>
    <x v="75"/>
    <x v="9"/>
    <n v="2"/>
    <n v="2"/>
    <n v="2"/>
    <n v="0"/>
    <n v="0"/>
  </r>
  <r>
    <x v="75"/>
    <x v="10"/>
    <n v="17"/>
    <n v="17"/>
    <n v="13"/>
    <n v="4"/>
    <n v="0"/>
  </r>
  <r>
    <x v="75"/>
    <x v="10"/>
    <n v="6"/>
    <n v="6"/>
    <n v="6"/>
    <n v="0"/>
    <n v="0"/>
  </r>
  <r>
    <x v="75"/>
    <x v="11"/>
    <n v="2"/>
    <n v="2"/>
    <n v="2"/>
    <n v="0"/>
    <n v="0"/>
  </r>
  <r>
    <x v="75"/>
    <x v="11"/>
    <n v="1"/>
    <n v="0"/>
    <n v="0"/>
    <n v="0"/>
    <n v="0"/>
  </r>
  <r>
    <x v="76"/>
    <x v="0"/>
    <n v="3"/>
    <n v="3"/>
    <n v="3"/>
    <n v="0"/>
    <n v="0"/>
  </r>
  <r>
    <x v="76"/>
    <x v="0"/>
    <n v="2"/>
    <n v="2"/>
    <n v="2"/>
    <n v="0"/>
    <n v="0"/>
  </r>
  <r>
    <x v="76"/>
    <x v="2"/>
    <n v="4"/>
    <n v="4"/>
    <n v="4"/>
    <n v="0"/>
    <n v="0"/>
  </r>
  <r>
    <x v="76"/>
    <x v="2"/>
    <n v="4"/>
    <n v="4"/>
    <n v="4"/>
    <n v="0"/>
    <n v="0"/>
  </r>
  <r>
    <x v="76"/>
    <x v="3"/>
    <n v="23"/>
    <n v="23"/>
    <n v="23"/>
    <n v="0"/>
    <n v="0"/>
  </r>
  <r>
    <x v="76"/>
    <x v="3"/>
    <n v="22"/>
    <n v="22"/>
    <n v="21"/>
    <n v="1"/>
    <n v="0"/>
  </r>
  <r>
    <x v="76"/>
    <x v="4"/>
    <n v="37"/>
    <n v="36"/>
    <n v="32"/>
    <n v="4"/>
    <n v="0"/>
  </r>
  <r>
    <x v="76"/>
    <x v="4"/>
    <n v="26"/>
    <n v="23"/>
    <n v="21"/>
    <n v="2"/>
    <n v="3"/>
  </r>
  <r>
    <x v="76"/>
    <x v="5"/>
    <n v="76"/>
    <n v="74"/>
    <n v="71"/>
    <n v="3"/>
    <n v="2"/>
  </r>
  <r>
    <x v="76"/>
    <x v="5"/>
    <n v="43"/>
    <n v="42"/>
    <n v="40"/>
    <n v="2"/>
    <n v="0"/>
  </r>
  <r>
    <x v="76"/>
    <x v="6"/>
    <n v="21"/>
    <n v="21"/>
    <n v="21"/>
    <n v="0"/>
    <n v="0"/>
  </r>
  <r>
    <x v="76"/>
    <x v="6"/>
    <n v="9"/>
    <n v="8"/>
    <n v="8"/>
    <n v="0"/>
    <n v="1"/>
  </r>
  <r>
    <x v="76"/>
    <x v="7"/>
    <n v="2"/>
    <n v="2"/>
    <n v="2"/>
    <n v="0"/>
    <n v="0"/>
  </r>
  <r>
    <x v="76"/>
    <x v="7"/>
    <n v="1"/>
    <n v="1"/>
    <n v="1"/>
    <n v="0"/>
    <n v="0"/>
  </r>
  <r>
    <x v="76"/>
    <x v="8"/>
    <n v="27"/>
    <n v="27"/>
    <n v="24"/>
    <n v="3"/>
    <n v="0"/>
  </r>
  <r>
    <x v="76"/>
    <x v="8"/>
    <n v="15"/>
    <n v="14"/>
    <n v="13"/>
    <n v="1"/>
    <n v="1"/>
  </r>
  <r>
    <x v="76"/>
    <x v="9"/>
    <n v="11"/>
    <n v="11"/>
    <n v="11"/>
    <n v="0"/>
    <n v="0"/>
  </r>
  <r>
    <x v="76"/>
    <x v="10"/>
    <n v="64"/>
    <n v="64"/>
    <n v="57"/>
    <n v="7"/>
    <n v="0"/>
  </r>
  <r>
    <x v="76"/>
    <x v="10"/>
    <n v="50"/>
    <n v="50"/>
    <n v="40"/>
    <n v="10"/>
    <n v="0"/>
  </r>
  <r>
    <x v="77"/>
    <x v="0"/>
    <n v="1"/>
    <n v="1"/>
    <n v="1"/>
    <n v="0"/>
    <n v="0"/>
  </r>
  <r>
    <x v="77"/>
    <x v="0"/>
    <n v="3"/>
    <n v="3"/>
    <n v="2"/>
    <n v="1"/>
    <n v="0"/>
  </r>
  <r>
    <x v="77"/>
    <x v="2"/>
    <n v="4"/>
    <n v="4"/>
    <n v="3"/>
    <n v="1"/>
    <n v="0"/>
  </r>
  <r>
    <x v="77"/>
    <x v="2"/>
    <n v="1"/>
    <n v="1"/>
    <n v="0"/>
    <n v="1"/>
    <n v="0"/>
  </r>
  <r>
    <x v="77"/>
    <x v="3"/>
    <n v="38"/>
    <n v="38"/>
    <n v="33"/>
    <n v="5"/>
    <n v="0"/>
  </r>
  <r>
    <x v="77"/>
    <x v="3"/>
    <n v="25"/>
    <n v="25"/>
    <n v="21"/>
    <n v="4"/>
    <n v="0"/>
  </r>
  <r>
    <x v="77"/>
    <x v="4"/>
    <n v="52"/>
    <n v="52"/>
    <n v="42"/>
    <n v="10"/>
    <n v="0"/>
  </r>
  <r>
    <x v="77"/>
    <x v="4"/>
    <n v="35"/>
    <n v="34"/>
    <n v="27"/>
    <n v="7"/>
    <n v="0"/>
  </r>
  <r>
    <x v="77"/>
    <x v="5"/>
    <n v="17"/>
    <n v="17"/>
    <n v="14"/>
    <n v="3"/>
    <n v="0"/>
  </r>
  <r>
    <x v="77"/>
    <x v="5"/>
    <n v="17"/>
    <n v="17"/>
    <n v="16"/>
    <n v="1"/>
    <n v="0"/>
  </r>
  <r>
    <x v="77"/>
    <x v="6"/>
    <n v="17"/>
    <n v="17"/>
    <n v="17"/>
    <n v="0"/>
    <n v="0"/>
  </r>
  <r>
    <x v="77"/>
    <x v="6"/>
    <n v="8"/>
    <n v="8"/>
    <n v="7"/>
    <n v="1"/>
    <n v="0"/>
  </r>
  <r>
    <x v="77"/>
    <x v="7"/>
    <n v="1"/>
    <n v="1"/>
    <n v="1"/>
    <n v="0"/>
    <n v="0"/>
  </r>
  <r>
    <x v="77"/>
    <x v="8"/>
    <n v="4"/>
    <n v="4"/>
    <n v="4"/>
    <n v="0"/>
    <n v="0"/>
  </r>
  <r>
    <x v="77"/>
    <x v="8"/>
    <n v="3"/>
    <n v="2"/>
    <n v="1"/>
    <n v="1"/>
    <n v="0"/>
  </r>
  <r>
    <x v="77"/>
    <x v="9"/>
    <n v="3"/>
    <n v="3"/>
    <n v="3"/>
    <n v="0"/>
    <n v="0"/>
  </r>
  <r>
    <x v="77"/>
    <x v="10"/>
    <n v="26"/>
    <n v="26"/>
    <n v="24"/>
    <n v="2"/>
    <n v="0"/>
  </r>
  <r>
    <x v="77"/>
    <x v="10"/>
    <n v="19"/>
    <n v="19"/>
    <n v="18"/>
    <n v="1"/>
    <n v="0"/>
  </r>
  <r>
    <x v="77"/>
    <x v="11"/>
    <n v="2"/>
    <n v="2"/>
    <n v="2"/>
    <n v="0"/>
    <n v="0"/>
  </r>
  <r>
    <x v="78"/>
    <x v="0"/>
    <n v="15"/>
    <n v="13"/>
    <n v="4"/>
    <n v="9"/>
    <n v="0"/>
  </r>
  <r>
    <x v="78"/>
    <x v="12"/>
    <n v="4"/>
    <n v="0"/>
    <n v="0"/>
    <n v="0"/>
    <n v="0"/>
  </r>
  <r>
    <x v="78"/>
    <x v="2"/>
    <n v="1"/>
    <n v="1"/>
    <n v="1"/>
    <n v="0"/>
    <n v="0"/>
  </r>
  <r>
    <x v="78"/>
    <x v="3"/>
    <n v="9"/>
    <n v="9"/>
    <n v="8"/>
    <n v="1"/>
    <n v="0"/>
  </r>
  <r>
    <x v="78"/>
    <x v="3"/>
    <n v="3"/>
    <n v="3"/>
    <n v="3"/>
    <n v="0"/>
    <n v="0"/>
  </r>
  <r>
    <x v="78"/>
    <x v="4"/>
    <n v="8"/>
    <n v="8"/>
    <n v="6"/>
    <n v="2"/>
    <n v="0"/>
  </r>
  <r>
    <x v="78"/>
    <x v="4"/>
    <n v="6"/>
    <n v="4"/>
    <n v="3"/>
    <n v="1"/>
    <n v="1"/>
  </r>
  <r>
    <x v="78"/>
    <x v="5"/>
    <n v="19"/>
    <n v="19"/>
    <n v="16"/>
    <n v="3"/>
    <n v="0"/>
  </r>
  <r>
    <x v="78"/>
    <x v="5"/>
    <n v="17"/>
    <n v="17"/>
    <n v="15"/>
    <n v="2"/>
    <n v="0"/>
  </r>
  <r>
    <x v="78"/>
    <x v="6"/>
    <n v="4"/>
    <n v="4"/>
    <n v="4"/>
    <n v="0"/>
    <n v="0"/>
  </r>
  <r>
    <x v="78"/>
    <x v="6"/>
    <n v="2"/>
    <n v="2"/>
    <n v="2"/>
    <n v="0"/>
    <n v="0"/>
  </r>
  <r>
    <x v="78"/>
    <x v="7"/>
    <n v="2"/>
    <n v="2"/>
    <n v="2"/>
    <n v="0"/>
    <n v="0"/>
  </r>
  <r>
    <x v="78"/>
    <x v="8"/>
    <n v="3"/>
    <n v="3"/>
    <n v="3"/>
    <n v="0"/>
    <n v="0"/>
  </r>
  <r>
    <x v="78"/>
    <x v="9"/>
    <n v="3"/>
    <n v="3"/>
    <n v="3"/>
    <n v="0"/>
    <n v="0"/>
  </r>
  <r>
    <x v="78"/>
    <x v="10"/>
    <n v="19"/>
    <n v="19"/>
    <n v="19"/>
    <n v="0"/>
    <n v="0"/>
  </r>
  <r>
    <x v="78"/>
    <x v="10"/>
    <n v="4"/>
    <n v="4"/>
    <n v="4"/>
    <n v="0"/>
    <n v="0"/>
  </r>
  <r>
    <x v="78"/>
    <x v="11"/>
    <n v="1"/>
    <n v="1"/>
    <n v="1"/>
    <n v="0"/>
    <n v="0"/>
  </r>
  <r>
    <x v="79"/>
    <x v="0"/>
    <n v="4"/>
    <n v="3"/>
    <n v="2"/>
    <n v="1"/>
    <n v="0"/>
  </r>
  <r>
    <x v="79"/>
    <x v="16"/>
    <n v="1"/>
    <n v="0"/>
    <n v="0"/>
    <n v="0"/>
    <n v="0"/>
  </r>
  <r>
    <x v="79"/>
    <x v="12"/>
    <n v="1"/>
    <n v="0"/>
    <n v="0"/>
    <n v="0"/>
    <n v="0"/>
  </r>
  <r>
    <x v="79"/>
    <x v="2"/>
    <n v="6"/>
    <n v="6"/>
    <n v="4"/>
    <n v="2"/>
    <n v="0"/>
  </r>
  <r>
    <x v="79"/>
    <x v="2"/>
    <n v="5"/>
    <n v="5"/>
    <n v="5"/>
    <n v="0"/>
    <n v="0"/>
  </r>
  <r>
    <x v="79"/>
    <x v="3"/>
    <n v="22"/>
    <n v="22"/>
    <n v="20"/>
    <n v="2"/>
    <n v="0"/>
  </r>
  <r>
    <x v="79"/>
    <x v="3"/>
    <n v="10"/>
    <n v="9"/>
    <n v="8"/>
    <n v="1"/>
    <n v="0"/>
  </r>
  <r>
    <x v="79"/>
    <x v="4"/>
    <n v="28"/>
    <n v="27"/>
    <n v="25"/>
    <n v="2"/>
    <n v="0"/>
  </r>
  <r>
    <x v="79"/>
    <x v="4"/>
    <n v="22"/>
    <n v="20"/>
    <n v="19"/>
    <n v="1"/>
    <n v="0"/>
  </r>
  <r>
    <x v="79"/>
    <x v="5"/>
    <n v="46"/>
    <n v="45"/>
    <n v="28"/>
    <n v="17"/>
    <n v="0"/>
  </r>
  <r>
    <x v="79"/>
    <x v="5"/>
    <n v="26"/>
    <n v="25"/>
    <n v="21"/>
    <n v="4"/>
    <n v="0"/>
  </r>
  <r>
    <x v="79"/>
    <x v="6"/>
    <n v="32"/>
    <n v="32"/>
    <n v="31"/>
    <n v="1"/>
    <n v="0"/>
  </r>
  <r>
    <x v="79"/>
    <x v="6"/>
    <n v="1"/>
    <n v="1"/>
    <n v="1"/>
    <n v="0"/>
    <n v="0"/>
  </r>
  <r>
    <x v="79"/>
    <x v="8"/>
    <n v="11"/>
    <n v="11"/>
    <n v="8"/>
    <n v="3"/>
    <n v="0"/>
  </r>
  <r>
    <x v="79"/>
    <x v="8"/>
    <n v="8"/>
    <n v="8"/>
    <n v="5"/>
    <n v="3"/>
    <n v="0"/>
  </r>
  <r>
    <x v="79"/>
    <x v="9"/>
    <n v="3"/>
    <n v="3"/>
    <n v="2"/>
    <n v="1"/>
    <n v="0"/>
  </r>
  <r>
    <x v="79"/>
    <x v="9"/>
    <n v="3"/>
    <n v="3"/>
    <n v="3"/>
    <n v="0"/>
    <n v="0"/>
  </r>
  <r>
    <x v="79"/>
    <x v="10"/>
    <n v="38"/>
    <n v="38"/>
    <n v="33"/>
    <n v="5"/>
    <n v="0"/>
  </r>
  <r>
    <x v="79"/>
    <x v="10"/>
    <n v="15"/>
    <n v="15"/>
    <n v="14"/>
    <n v="1"/>
    <n v="0"/>
  </r>
  <r>
    <x v="79"/>
    <x v="11"/>
    <n v="3"/>
    <n v="3"/>
    <n v="3"/>
    <n v="0"/>
    <n v="0"/>
  </r>
  <r>
    <x v="80"/>
    <x v="0"/>
    <n v="5"/>
    <n v="4"/>
    <n v="4"/>
    <n v="0"/>
    <n v="0"/>
  </r>
  <r>
    <x v="80"/>
    <x v="0"/>
    <n v="2"/>
    <n v="2"/>
    <n v="2"/>
    <n v="0"/>
    <n v="0"/>
  </r>
  <r>
    <x v="80"/>
    <x v="2"/>
    <n v="16"/>
    <n v="16"/>
    <n v="16"/>
    <n v="0"/>
    <n v="0"/>
  </r>
  <r>
    <x v="80"/>
    <x v="2"/>
    <n v="5"/>
    <n v="5"/>
    <n v="5"/>
    <n v="0"/>
    <n v="0"/>
  </r>
  <r>
    <x v="80"/>
    <x v="3"/>
    <n v="22"/>
    <n v="21"/>
    <n v="21"/>
    <n v="0"/>
    <n v="0"/>
  </r>
  <r>
    <x v="80"/>
    <x v="3"/>
    <n v="22"/>
    <n v="21"/>
    <n v="18"/>
    <n v="3"/>
    <n v="0"/>
  </r>
  <r>
    <x v="80"/>
    <x v="4"/>
    <n v="42"/>
    <n v="39"/>
    <n v="38"/>
    <n v="1"/>
    <n v="1"/>
  </r>
  <r>
    <x v="80"/>
    <x v="4"/>
    <n v="29"/>
    <n v="29"/>
    <n v="28"/>
    <n v="1"/>
    <n v="0"/>
  </r>
  <r>
    <x v="80"/>
    <x v="5"/>
    <n v="38"/>
    <n v="37"/>
    <n v="36"/>
    <n v="1"/>
    <n v="0"/>
  </r>
  <r>
    <x v="80"/>
    <x v="5"/>
    <n v="33"/>
    <n v="33"/>
    <n v="29"/>
    <n v="4"/>
    <n v="0"/>
  </r>
  <r>
    <x v="80"/>
    <x v="6"/>
    <n v="10"/>
    <n v="10"/>
    <n v="10"/>
    <n v="0"/>
    <n v="0"/>
  </r>
  <r>
    <x v="80"/>
    <x v="6"/>
    <n v="1"/>
    <n v="1"/>
    <n v="1"/>
    <n v="0"/>
    <n v="0"/>
  </r>
  <r>
    <x v="80"/>
    <x v="8"/>
    <n v="15"/>
    <n v="15"/>
    <n v="14"/>
    <n v="1"/>
    <n v="0"/>
  </r>
  <r>
    <x v="80"/>
    <x v="8"/>
    <n v="26"/>
    <n v="26"/>
    <n v="14"/>
    <n v="12"/>
    <n v="0"/>
  </r>
  <r>
    <x v="80"/>
    <x v="9"/>
    <n v="11"/>
    <n v="11"/>
    <n v="11"/>
    <n v="0"/>
    <n v="0"/>
  </r>
  <r>
    <x v="80"/>
    <x v="9"/>
    <n v="13"/>
    <n v="13"/>
    <n v="11"/>
    <n v="2"/>
    <n v="0"/>
  </r>
  <r>
    <x v="80"/>
    <x v="10"/>
    <n v="57"/>
    <n v="55"/>
    <n v="45"/>
    <n v="10"/>
    <n v="2"/>
  </r>
  <r>
    <x v="80"/>
    <x v="10"/>
    <n v="59"/>
    <n v="59"/>
    <n v="43"/>
    <n v="16"/>
    <n v="0"/>
  </r>
  <r>
    <x v="80"/>
    <x v="11"/>
    <n v="16"/>
    <n v="16"/>
    <n v="16"/>
    <n v="0"/>
    <n v="0"/>
  </r>
  <r>
    <x v="80"/>
    <x v="11"/>
    <n v="5"/>
    <n v="4"/>
    <n v="4"/>
    <n v="0"/>
    <n v="0"/>
  </r>
  <r>
    <x v="81"/>
    <x v="2"/>
    <n v="27"/>
    <n v="26"/>
    <n v="22"/>
    <n v="4"/>
    <n v="0"/>
  </r>
  <r>
    <x v="81"/>
    <x v="2"/>
    <n v="10"/>
    <n v="10"/>
    <n v="10"/>
    <n v="0"/>
    <n v="0"/>
  </r>
  <r>
    <x v="81"/>
    <x v="3"/>
    <n v="23"/>
    <n v="23"/>
    <n v="22"/>
    <n v="1"/>
    <n v="0"/>
  </r>
  <r>
    <x v="81"/>
    <x v="3"/>
    <n v="21"/>
    <n v="20"/>
    <n v="16"/>
    <n v="4"/>
    <n v="0"/>
  </r>
  <r>
    <x v="81"/>
    <x v="4"/>
    <n v="34"/>
    <n v="34"/>
    <n v="26"/>
    <n v="8"/>
    <n v="0"/>
  </r>
  <r>
    <x v="81"/>
    <x v="4"/>
    <n v="37"/>
    <n v="36"/>
    <n v="35"/>
    <n v="1"/>
    <n v="0"/>
  </r>
  <r>
    <x v="81"/>
    <x v="5"/>
    <n v="27"/>
    <n v="27"/>
    <n v="18"/>
    <n v="9"/>
    <n v="0"/>
  </r>
  <r>
    <x v="81"/>
    <x v="5"/>
    <n v="23"/>
    <n v="23"/>
    <n v="18"/>
    <n v="5"/>
    <n v="0"/>
  </r>
  <r>
    <x v="81"/>
    <x v="6"/>
    <n v="7"/>
    <n v="7"/>
    <n v="7"/>
    <n v="0"/>
    <n v="0"/>
  </r>
  <r>
    <x v="81"/>
    <x v="6"/>
    <n v="1"/>
    <n v="1"/>
    <n v="1"/>
    <n v="0"/>
    <n v="0"/>
  </r>
  <r>
    <x v="81"/>
    <x v="8"/>
    <n v="15"/>
    <n v="15"/>
    <n v="13"/>
    <n v="2"/>
    <n v="0"/>
  </r>
  <r>
    <x v="81"/>
    <x v="8"/>
    <n v="7"/>
    <n v="7"/>
    <n v="5"/>
    <n v="2"/>
    <n v="0"/>
  </r>
  <r>
    <x v="81"/>
    <x v="9"/>
    <n v="6"/>
    <n v="6"/>
    <n v="5"/>
    <n v="1"/>
    <n v="0"/>
  </r>
  <r>
    <x v="81"/>
    <x v="10"/>
    <n v="35"/>
    <n v="35"/>
    <n v="32"/>
    <n v="3"/>
    <n v="0"/>
  </r>
  <r>
    <x v="81"/>
    <x v="10"/>
    <n v="20"/>
    <n v="19"/>
    <n v="18"/>
    <n v="1"/>
    <n v="0"/>
  </r>
  <r>
    <x v="81"/>
    <x v="11"/>
    <n v="24"/>
    <n v="24"/>
    <n v="24"/>
    <n v="0"/>
    <n v="0"/>
  </r>
  <r>
    <x v="81"/>
    <x v="11"/>
    <n v="8"/>
    <n v="8"/>
    <n v="8"/>
    <n v="0"/>
    <n v="0"/>
  </r>
  <r>
    <x v="82"/>
    <x v="0"/>
    <n v="1"/>
    <n v="1"/>
    <n v="0"/>
    <n v="1"/>
    <n v="0"/>
  </r>
  <r>
    <x v="82"/>
    <x v="2"/>
    <n v="8"/>
    <n v="8"/>
    <n v="7"/>
    <n v="1"/>
    <n v="0"/>
  </r>
  <r>
    <x v="82"/>
    <x v="2"/>
    <n v="6"/>
    <n v="6"/>
    <n v="6"/>
    <n v="0"/>
    <n v="0"/>
  </r>
  <r>
    <x v="82"/>
    <x v="3"/>
    <n v="20"/>
    <n v="18"/>
    <n v="15"/>
    <n v="3"/>
    <n v="0"/>
  </r>
  <r>
    <x v="82"/>
    <x v="3"/>
    <n v="13"/>
    <n v="12"/>
    <n v="12"/>
    <n v="0"/>
    <n v="0"/>
  </r>
  <r>
    <x v="82"/>
    <x v="4"/>
    <n v="29"/>
    <n v="27"/>
    <n v="20"/>
    <n v="7"/>
    <n v="0"/>
  </r>
  <r>
    <x v="82"/>
    <x v="4"/>
    <n v="25"/>
    <n v="22"/>
    <n v="18"/>
    <n v="4"/>
    <n v="0"/>
  </r>
  <r>
    <x v="82"/>
    <x v="5"/>
    <n v="41"/>
    <n v="37"/>
    <n v="31"/>
    <n v="6"/>
    <n v="0"/>
  </r>
  <r>
    <x v="82"/>
    <x v="5"/>
    <n v="15"/>
    <n v="13"/>
    <n v="13"/>
    <n v="0"/>
    <n v="0"/>
  </r>
  <r>
    <x v="82"/>
    <x v="6"/>
    <n v="9"/>
    <n v="8"/>
    <n v="8"/>
    <n v="0"/>
    <n v="0"/>
  </r>
  <r>
    <x v="82"/>
    <x v="6"/>
    <n v="9"/>
    <n v="5"/>
    <n v="5"/>
    <n v="0"/>
    <n v="0"/>
  </r>
  <r>
    <x v="82"/>
    <x v="8"/>
    <n v="2"/>
    <n v="0"/>
    <n v="0"/>
    <n v="0"/>
    <n v="0"/>
  </r>
  <r>
    <x v="82"/>
    <x v="9"/>
    <n v="1"/>
    <n v="0"/>
    <n v="0"/>
    <n v="0"/>
    <n v="0"/>
  </r>
  <r>
    <x v="82"/>
    <x v="10"/>
    <n v="43"/>
    <n v="40"/>
    <n v="37"/>
    <n v="3"/>
    <n v="0"/>
  </r>
  <r>
    <x v="82"/>
    <x v="10"/>
    <n v="17"/>
    <n v="16"/>
    <n v="13"/>
    <n v="3"/>
    <n v="0"/>
  </r>
  <r>
    <x v="82"/>
    <x v="11"/>
    <n v="1"/>
    <n v="0"/>
    <n v="0"/>
    <n v="0"/>
    <n v="0"/>
  </r>
  <r>
    <x v="83"/>
    <x v="0"/>
    <n v="1"/>
    <n v="1"/>
    <n v="1"/>
    <n v="0"/>
    <n v="0"/>
  </r>
  <r>
    <x v="83"/>
    <x v="15"/>
    <n v="1"/>
    <n v="0"/>
    <n v="0"/>
    <n v="0"/>
    <n v="0"/>
  </r>
  <r>
    <x v="83"/>
    <x v="2"/>
    <n v="2"/>
    <n v="2"/>
    <n v="2"/>
    <n v="0"/>
    <n v="0"/>
  </r>
  <r>
    <x v="83"/>
    <x v="2"/>
    <n v="6"/>
    <n v="6"/>
    <n v="5"/>
    <n v="1"/>
    <n v="0"/>
  </r>
  <r>
    <x v="83"/>
    <x v="3"/>
    <n v="19"/>
    <n v="18"/>
    <n v="15"/>
    <n v="3"/>
    <n v="0"/>
  </r>
  <r>
    <x v="83"/>
    <x v="3"/>
    <n v="18"/>
    <n v="17"/>
    <n v="17"/>
    <n v="0"/>
    <n v="0"/>
  </r>
  <r>
    <x v="83"/>
    <x v="4"/>
    <n v="19"/>
    <n v="18"/>
    <n v="15"/>
    <n v="3"/>
    <n v="0"/>
  </r>
  <r>
    <x v="83"/>
    <x v="4"/>
    <n v="26"/>
    <n v="24"/>
    <n v="21"/>
    <n v="3"/>
    <n v="0"/>
  </r>
  <r>
    <x v="83"/>
    <x v="5"/>
    <n v="58"/>
    <n v="58"/>
    <n v="56"/>
    <n v="2"/>
    <n v="0"/>
  </r>
  <r>
    <x v="83"/>
    <x v="5"/>
    <n v="39"/>
    <n v="39"/>
    <n v="32"/>
    <n v="7"/>
    <n v="0"/>
  </r>
  <r>
    <x v="83"/>
    <x v="6"/>
    <n v="7"/>
    <n v="6"/>
    <n v="6"/>
    <n v="0"/>
    <n v="0"/>
  </r>
  <r>
    <x v="83"/>
    <x v="6"/>
    <n v="2"/>
    <n v="2"/>
    <n v="2"/>
    <n v="0"/>
    <n v="0"/>
  </r>
  <r>
    <x v="83"/>
    <x v="7"/>
    <n v="8"/>
    <n v="7"/>
    <n v="6"/>
    <n v="1"/>
    <n v="0"/>
  </r>
  <r>
    <x v="83"/>
    <x v="8"/>
    <n v="9"/>
    <n v="9"/>
    <n v="9"/>
    <n v="0"/>
    <n v="0"/>
  </r>
  <r>
    <x v="83"/>
    <x v="8"/>
    <n v="19"/>
    <n v="19"/>
    <n v="19"/>
    <n v="0"/>
    <n v="0"/>
  </r>
  <r>
    <x v="83"/>
    <x v="9"/>
    <n v="1"/>
    <n v="1"/>
    <n v="1"/>
    <n v="0"/>
    <n v="0"/>
  </r>
  <r>
    <x v="83"/>
    <x v="9"/>
    <n v="2"/>
    <n v="2"/>
    <n v="2"/>
    <n v="0"/>
    <n v="0"/>
  </r>
  <r>
    <x v="83"/>
    <x v="10"/>
    <n v="42"/>
    <n v="42"/>
    <n v="42"/>
    <n v="0"/>
    <n v="0"/>
  </r>
  <r>
    <x v="83"/>
    <x v="10"/>
    <n v="30"/>
    <n v="30"/>
    <n v="30"/>
    <n v="0"/>
    <n v="0"/>
  </r>
  <r>
    <x v="83"/>
    <x v="11"/>
    <n v="7"/>
    <n v="7"/>
    <n v="7"/>
    <n v="0"/>
    <n v="0"/>
  </r>
  <r>
    <x v="84"/>
    <x v="0"/>
    <n v="5"/>
    <n v="4"/>
    <n v="3"/>
    <n v="1"/>
    <n v="0"/>
  </r>
  <r>
    <x v="84"/>
    <x v="0"/>
    <n v="2"/>
    <n v="1"/>
    <n v="1"/>
    <n v="0"/>
    <n v="0"/>
  </r>
  <r>
    <x v="84"/>
    <x v="2"/>
    <n v="1"/>
    <n v="1"/>
    <n v="1"/>
    <n v="0"/>
    <n v="0"/>
  </r>
  <r>
    <x v="84"/>
    <x v="2"/>
    <n v="4"/>
    <n v="4"/>
    <n v="4"/>
    <n v="0"/>
    <n v="0"/>
  </r>
  <r>
    <x v="84"/>
    <x v="3"/>
    <n v="8"/>
    <n v="8"/>
    <n v="8"/>
    <n v="0"/>
    <n v="0"/>
  </r>
  <r>
    <x v="84"/>
    <x v="3"/>
    <n v="15"/>
    <n v="14"/>
    <n v="12"/>
    <n v="2"/>
    <n v="0"/>
  </r>
  <r>
    <x v="84"/>
    <x v="4"/>
    <n v="7"/>
    <n v="6"/>
    <n v="5"/>
    <n v="1"/>
    <n v="0"/>
  </r>
  <r>
    <x v="84"/>
    <x v="4"/>
    <n v="16"/>
    <n v="16"/>
    <n v="16"/>
    <n v="0"/>
    <n v="0"/>
  </r>
  <r>
    <x v="84"/>
    <x v="5"/>
    <n v="52"/>
    <n v="51"/>
    <n v="46"/>
    <n v="5"/>
    <n v="0"/>
  </r>
  <r>
    <x v="84"/>
    <x v="5"/>
    <n v="52"/>
    <n v="52"/>
    <n v="48"/>
    <n v="4"/>
    <n v="0"/>
  </r>
  <r>
    <x v="84"/>
    <x v="6"/>
    <n v="20"/>
    <n v="20"/>
    <n v="20"/>
    <n v="0"/>
    <n v="0"/>
  </r>
  <r>
    <x v="84"/>
    <x v="6"/>
    <n v="9"/>
    <n v="9"/>
    <n v="9"/>
    <n v="0"/>
    <n v="0"/>
  </r>
  <r>
    <x v="84"/>
    <x v="8"/>
    <n v="1"/>
    <n v="1"/>
    <n v="1"/>
    <n v="0"/>
    <n v="0"/>
  </r>
  <r>
    <x v="84"/>
    <x v="8"/>
    <n v="1"/>
    <n v="1"/>
    <n v="1"/>
    <n v="0"/>
    <n v="0"/>
  </r>
  <r>
    <x v="84"/>
    <x v="9"/>
    <n v="1"/>
    <n v="1"/>
    <n v="1"/>
    <n v="0"/>
    <n v="0"/>
  </r>
  <r>
    <x v="84"/>
    <x v="10"/>
    <n v="24"/>
    <n v="24"/>
    <n v="20"/>
    <n v="4"/>
    <n v="0"/>
  </r>
  <r>
    <x v="84"/>
    <x v="10"/>
    <n v="13"/>
    <n v="13"/>
    <n v="12"/>
    <n v="1"/>
    <n v="0"/>
  </r>
  <r>
    <x v="85"/>
    <x v="0"/>
    <n v="3"/>
    <n v="3"/>
    <n v="2"/>
    <n v="1"/>
    <n v="0"/>
  </r>
  <r>
    <x v="85"/>
    <x v="0"/>
    <n v="4"/>
    <n v="3"/>
    <n v="3"/>
    <n v="0"/>
    <n v="0"/>
  </r>
  <r>
    <x v="85"/>
    <x v="2"/>
    <n v="12"/>
    <n v="12"/>
    <n v="10"/>
    <n v="2"/>
    <n v="0"/>
  </r>
  <r>
    <x v="85"/>
    <x v="2"/>
    <n v="9"/>
    <n v="9"/>
    <n v="8"/>
    <n v="1"/>
    <n v="0"/>
  </r>
  <r>
    <x v="85"/>
    <x v="3"/>
    <n v="26"/>
    <n v="26"/>
    <n v="25"/>
    <n v="1"/>
    <n v="0"/>
  </r>
  <r>
    <x v="85"/>
    <x v="3"/>
    <n v="7"/>
    <n v="7"/>
    <n v="6"/>
    <n v="1"/>
    <n v="0"/>
  </r>
  <r>
    <x v="85"/>
    <x v="4"/>
    <n v="37"/>
    <n v="37"/>
    <n v="36"/>
    <n v="1"/>
    <n v="0"/>
  </r>
  <r>
    <x v="85"/>
    <x v="4"/>
    <n v="17"/>
    <n v="17"/>
    <n v="13"/>
    <n v="4"/>
    <n v="0"/>
  </r>
  <r>
    <x v="85"/>
    <x v="5"/>
    <n v="46"/>
    <n v="46"/>
    <n v="42"/>
    <n v="4"/>
    <n v="0"/>
  </r>
  <r>
    <x v="85"/>
    <x v="5"/>
    <n v="23"/>
    <n v="22"/>
    <n v="21"/>
    <n v="1"/>
    <n v="0"/>
  </r>
  <r>
    <x v="85"/>
    <x v="6"/>
    <n v="10"/>
    <n v="10"/>
    <n v="10"/>
    <n v="0"/>
    <n v="0"/>
  </r>
  <r>
    <x v="85"/>
    <x v="6"/>
    <n v="3"/>
    <n v="3"/>
    <n v="3"/>
    <n v="0"/>
    <n v="0"/>
  </r>
  <r>
    <x v="85"/>
    <x v="8"/>
    <n v="10"/>
    <n v="10"/>
    <n v="10"/>
    <n v="0"/>
    <n v="0"/>
  </r>
  <r>
    <x v="85"/>
    <x v="8"/>
    <n v="14"/>
    <n v="13"/>
    <n v="9"/>
    <n v="4"/>
    <n v="0"/>
  </r>
  <r>
    <x v="85"/>
    <x v="9"/>
    <n v="13"/>
    <n v="13"/>
    <n v="11"/>
    <n v="2"/>
    <n v="0"/>
  </r>
  <r>
    <x v="85"/>
    <x v="9"/>
    <n v="11"/>
    <n v="11"/>
    <n v="8"/>
    <n v="3"/>
    <n v="0"/>
  </r>
  <r>
    <x v="85"/>
    <x v="10"/>
    <n v="38"/>
    <n v="38"/>
    <n v="35"/>
    <n v="3"/>
    <n v="0"/>
  </r>
  <r>
    <x v="85"/>
    <x v="10"/>
    <n v="17"/>
    <n v="17"/>
    <n v="16"/>
    <n v="1"/>
    <n v="0"/>
  </r>
  <r>
    <x v="85"/>
    <x v="11"/>
    <n v="5"/>
    <n v="5"/>
    <n v="3"/>
    <n v="2"/>
    <n v="0"/>
  </r>
  <r>
    <x v="85"/>
    <x v="11"/>
    <n v="5"/>
    <n v="3"/>
    <n v="3"/>
    <n v="0"/>
    <n v="0"/>
  </r>
  <r>
    <x v="86"/>
    <x v="0"/>
    <n v="2"/>
    <n v="2"/>
    <n v="2"/>
    <n v="0"/>
    <n v="0"/>
  </r>
  <r>
    <x v="86"/>
    <x v="0"/>
    <n v="3"/>
    <n v="3"/>
    <n v="3"/>
    <n v="0"/>
    <n v="0"/>
  </r>
  <r>
    <x v="86"/>
    <x v="2"/>
    <n v="7"/>
    <n v="7"/>
    <n v="7"/>
    <n v="0"/>
    <n v="0"/>
  </r>
  <r>
    <x v="86"/>
    <x v="2"/>
    <n v="3"/>
    <n v="3"/>
    <n v="3"/>
    <n v="0"/>
    <n v="0"/>
  </r>
  <r>
    <x v="86"/>
    <x v="3"/>
    <n v="14"/>
    <n v="14"/>
    <n v="14"/>
    <n v="0"/>
    <n v="0"/>
  </r>
  <r>
    <x v="86"/>
    <x v="3"/>
    <n v="6"/>
    <n v="6"/>
    <n v="6"/>
    <n v="0"/>
    <n v="0"/>
  </r>
  <r>
    <x v="86"/>
    <x v="4"/>
    <n v="20"/>
    <n v="16"/>
    <n v="15"/>
    <n v="1"/>
    <n v="0"/>
  </r>
  <r>
    <x v="86"/>
    <x v="4"/>
    <n v="13"/>
    <n v="13"/>
    <n v="12"/>
    <n v="1"/>
    <n v="0"/>
  </r>
  <r>
    <x v="86"/>
    <x v="5"/>
    <n v="39"/>
    <n v="39"/>
    <n v="37"/>
    <n v="2"/>
    <n v="0"/>
  </r>
  <r>
    <x v="86"/>
    <x v="5"/>
    <n v="62"/>
    <n v="61"/>
    <n v="61"/>
    <n v="0"/>
    <n v="0"/>
  </r>
  <r>
    <x v="86"/>
    <x v="6"/>
    <n v="17"/>
    <n v="17"/>
    <n v="17"/>
    <n v="0"/>
    <n v="0"/>
  </r>
  <r>
    <x v="86"/>
    <x v="6"/>
    <n v="2"/>
    <n v="2"/>
    <n v="2"/>
    <n v="0"/>
    <n v="0"/>
  </r>
  <r>
    <x v="86"/>
    <x v="7"/>
    <n v="1"/>
    <n v="1"/>
    <n v="1"/>
    <n v="0"/>
    <n v="0"/>
  </r>
  <r>
    <x v="86"/>
    <x v="8"/>
    <n v="1"/>
    <n v="1"/>
    <n v="1"/>
    <n v="0"/>
    <n v="0"/>
  </r>
  <r>
    <x v="86"/>
    <x v="9"/>
    <n v="1"/>
    <n v="1"/>
    <n v="1"/>
    <n v="0"/>
    <n v="0"/>
  </r>
  <r>
    <x v="86"/>
    <x v="10"/>
    <n v="27"/>
    <n v="27"/>
    <n v="27"/>
    <n v="0"/>
    <n v="0"/>
  </r>
  <r>
    <x v="86"/>
    <x v="10"/>
    <n v="50"/>
    <n v="50"/>
    <n v="50"/>
    <n v="0"/>
    <n v="0"/>
  </r>
  <r>
    <x v="86"/>
    <x v="11"/>
    <n v="1"/>
    <n v="0"/>
    <n v="0"/>
    <n v="0"/>
    <n v="0"/>
  </r>
  <r>
    <x v="87"/>
    <x v="0"/>
    <n v="1"/>
    <n v="1"/>
    <n v="1"/>
    <n v="0"/>
    <n v="0"/>
  </r>
  <r>
    <x v="87"/>
    <x v="2"/>
    <n v="4"/>
    <n v="4"/>
    <n v="4"/>
    <n v="0"/>
    <n v="0"/>
  </r>
  <r>
    <x v="87"/>
    <x v="2"/>
    <n v="1"/>
    <n v="1"/>
    <n v="0"/>
    <n v="1"/>
    <n v="0"/>
  </r>
  <r>
    <x v="87"/>
    <x v="3"/>
    <n v="11"/>
    <n v="10"/>
    <n v="8"/>
    <n v="2"/>
    <n v="0"/>
  </r>
  <r>
    <x v="87"/>
    <x v="3"/>
    <n v="2"/>
    <n v="2"/>
    <n v="1"/>
    <n v="1"/>
    <n v="0"/>
  </r>
  <r>
    <x v="87"/>
    <x v="4"/>
    <n v="24"/>
    <n v="24"/>
    <n v="23"/>
    <n v="1"/>
    <n v="0"/>
  </r>
  <r>
    <x v="87"/>
    <x v="4"/>
    <n v="14"/>
    <n v="12"/>
    <n v="3"/>
    <n v="9"/>
    <n v="0"/>
  </r>
  <r>
    <x v="87"/>
    <x v="5"/>
    <n v="13"/>
    <n v="13"/>
    <n v="9"/>
    <n v="4"/>
    <n v="0"/>
  </r>
  <r>
    <x v="87"/>
    <x v="5"/>
    <n v="7"/>
    <n v="7"/>
    <n v="7"/>
    <n v="0"/>
    <n v="0"/>
  </r>
  <r>
    <x v="87"/>
    <x v="6"/>
    <n v="1"/>
    <n v="1"/>
    <n v="1"/>
    <n v="0"/>
    <n v="0"/>
  </r>
  <r>
    <x v="87"/>
    <x v="6"/>
    <n v="1"/>
    <n v="0"/>
    <n v="0"/>
    <n v="0"/>
    <n v="0"/>
  </r>
  <r>
    <x v="87"/>
    <x v="10"/>
    <n v="13"/>
    <n v="13"/>
    <n v="12"/>
    <n v="1"/>
    <n v="0"/>
  </r>
  <r>
    <x v="87"/>
    <x v="10"/>
    <n v="8"/>
    <n v="8"/>
    <n v="8"/>
    <n v="0"/>
    <n v="0"/>
  </r>
  <r>
    <x v="87"/>
    <x v="11"/>
    <n v="4"/>
    <n v="4"/>
    <n v="4"/>
    <n v="0"/>
    <n v="0"/>
  </r>
  <r>
    <x v="88"/>
    <x v="0"/>
    <n v="3"/>
    <n v="3"/>
    <n v="3"/>
    <n v="0"/>
    <n v="0"/>
  </r>
  <r>
    <x v="88"/>
    <x v="0"/>
    <n v="1"/>
    <n v="1"/>
    <n v="1"/>
    <n v="0"/>
    <n v="0"/>
  </r>
  <r>
    <x v="88"/>
    <x v="2"/>
    <n v="4"/>
    <n v="4"/>
    <n v="4"/>
    <n v="0"/>
    <n v="0"/>
  </r>
  <r>
    <x v="88"/>
    <x v="2"/>
    <n v="4"/>
    <n v="4"/>
    <n v="4"/>
    <n v="0"/>
    <n v="0"/>
  </r>
  <r>
    <x v="88"/>
    <x v="3"/>
    <n v="8"/>
    <n v="8"/>
    <n v="7"/>
    <n v="1"/>
    <n v="0"/>
  </r>
  <r>
    <x v="88"/>
    <x v="3"/>
    <n v="8"/>
    <n v="8"/>
    <n v="8"/>
    <n v="0"/>
    <n v="0"/>
  </r>
  <r>
    <x v="88"/>
    <x v="4"/>
    <n v="18"/>
    <n v="18"/>
    <n v="13"/>
    <n v="5"/>
    <n v="0"/>
  </r>
  <r>
    <x v="88"/>
    <x v="4"/>
    <n v="14"/>
    <n v="14"/>
    <n v="13"/>
    <n v="1"/>
    <n v="0"/>
  </r>
  <r>
    <x v="88"/>
    <x v="5"/>
    <n v="15"/>
    <n v="15"/>
    <n v="13"/>
    <n v="2"/>
    <n v="0"/>
  </r>
  <r>
    <x v="88"/>
    <x v="5"/>
    <n v="14"/>
    <n v="14"/>
    <n v="13"/>
    <n v="1"/>
    <n v="0"/>
  </r>
  <r>
    <x v="88"/>
    <x v="6"/>
    <n v="6"/>
    <n v="6"/>
    <n v="6"/>
    <n v="0"/>
    <n v="0"/>
  </r>
  <r>
    <x v="88"/>
    <x v="6"/>
    <n v="4"/>
    <n v="3"/>
    <n v="3"/>
    <n v="0"/>
    <n v="0"/>
  </r>
  <r>
    <x v="88"/>
    <x v="8"/>
    <n v="5"/>
    <n v="5"/>
    <n v="4"/>
    <n v="1"/>
    <n v="0"/>
  </r>
  <r>
    <x v="88"/>
    <x v="8"/>
    <n v="2"/>
    <n v="2"/>
    <n v="2"/>
    <n v="0"/>
    <n v="0"/>
  </r>
  <r>
    <x v="88"/>
    <x v="9"/>
    <n v="2"/>
    <n v="2"/>
    <n v="2"/>
    <n v="0"/>
    <n v="0"/>
  </r>
  <r>
    <x v="88"/>
    <x v="9"/>
    <n v="1"/>
    <n v="1"/>
    <n v="1"/>
    <n v="0"/>
    <n v="0"/>
  </r>
  <r>
    <x v="88"/>
    <x v="10"/>
    <n v="11"/>
    <n v="11"/>
    <n v="11"/>
    <n v="0"/>
    <n v="0"/>
  </r>
  <r>
    <x v="88"/>
    <x v="10"/>
    <n v="7"/>
    <n v="7"/>
    <n v="6"/>
    <n v="1"/>
    <n v="0"/>
  </r>
  <r>
    <x v="88"/>
    <x v="11"/>
    <n v="8"/>
    <n v="7"/>
    <n v="7"/>
    <n v="0"/>
    <n v="1"/>
  </r>
  <r>
    <x v="88"/>
    <x v="11"/>
    <n v="1"/>
    <n v="0"/>
    <n v="0"/>
    <n v="0"/>
    <n v="0"/>
  </r>
  <r>
    <x v="89"/>
    <x v="12"/>
    <n v="1"/>
    <n v="0"/>
    <n v="0"/>
    <n v="0"/>
    <n v="0"/>
  </r>
  <r>
    <x v="89"/>
    <x v="2"/>
    <n v="22"/>
    <n v="22"/>
    <n v="14"/>
    <n v="8"/>
    <n v="0"/>
  </r>
  <r>
    <x v="89"/>
    <x v="2"/>
    <n v="10"/>
    <n v="10"/>
    <n v="9"/>
    <n v="1"/>
    <n v="0"/>
  </r>
  <r>
    <x v="89"/>
    <x v="3"/>
    <n v="22"/>
    <n v="22"/>
    <n v="21"/>
    <n v="1"/>
    <n v="0"/>
  </r>
  <r>
    <x v="89"/>
    <x v="3"/>
    <n v="21"/>
    <n v="21"/>
    <n v="19"/>
    <n v="2"/>
    <n v="0"/>
  </r>
  <r>
    <x v="89"/>
    <x v="4"/>
    <n v="35"/>
    <n v="35"/>
    <n v="27"/>
    <n v="8"/>
    <n v="0"/>
  </r>
  <r>
    <x v="89"/>
    <x v="4"/>
    <n v="25"/>
    <n v="24"/>
    <n v="23"/>
    <n v="1"/>
    <n v="0"/>
  </r>
  <r>
    <x v="89"/>
    <x v="5"/>
    <n v="25"/>
    <n v="25"/>
    <n v="19"/>
    <n v="6"/>
    <n v="0"/>
  </r>
  <r>
    <x v="89"/>
    <x v="5"/>
    <n v="12"/>
    <n v="12"/>
    <n v="12"/>
    <n v="0"/>
    <n v="0"/>
  </r>
  <r>
    <x v="89"/>
    <x v="6"/>
    <n v="3"/>
    <n v="3"/>
    <n v="3"/>
    <n v="0"/>
    <n v="0"/>
  </r>
  <r>
    <x v="89"/>
    <x v="6"/>
    <n v="2"/>
    <n v="2"/>
    <n v="2"/>
    <n v="0"/>
    <n v="0"/>
  </r>
  <r>
    <x v="89"/>
    <x v="7"/>
    <n v="11"/>
    <n v="11"/>
    <n v="9"/>
    <n v="2"/>
    <n v="0"/>
  </r>
  <r>
    <x v="89"/>
    <x v="7"/>
    <n v="3"/>
    <n v="2"/>
    <n v="2"/>
    <n v="0"/>
    <n v="0"/>
  </r>
  <r>
    <x v="89"/>
    <x v="8"/>
    <n v="11"/>
    <n v="11"/>
    <n v="9"/>
    <n v="2"/>
    <n v="0"/>
  </r>
  <r>
    <x v="89"/>
    <x v="8"/>
    <n v="12"/>
    <n v="12"/>
    <n v="8"/>
    <n v="4"/>
    <n v="0"/>
  </r>
  <r>
    <x v="89"/>
    <x v="9"/>
    <n v="12"/>
    <n v="12"/>
    <n v="10"/>
    <n v="2"/>
    <n v="0"/>
  </r>
  <r>
    <x v="89"/>
    <x v="9"/>
    <n v="1"/>
    <n v="1"/>
    <n v="1"/>
    <n v="0"/>
    <n v="0"/>
  </r>
  <r>
    <x v="89"/>
    <x v="10"/>
    <n v="31"/>
    <n v="31"/>
    <n v="30"/>
    <n v="1"/>
    <n v="0"/>
  </r>
  <r>
    <x v="89"/>
    <x v="10"/>
    <n v="29"/>
    <n v="29"/>
    <n v="24"/>
    <n v="5"/>
    <n v="0"/>
  </r>
  <r>
    <x v="89"/>
    <x v="11"/>
    <n v="18"/>
    <n v="18"/>
    <n v="18"/>
    <n v="0"/>
    <n v="0"/>
  </r>
  <r>
    <x v="89"/>
    <x v="11"/>
    <n v="6"/>
    <n v="4"/>
    <n v="3"/>
    <n v="1"/>
    <n v="0"/>
  </r>
  <r>
    <x v="90"/>
    <x v="14"/>
    <n v="1"/>
    <n v="1"/>
    <n v="1"/>
    <n v="0"/>
    <n v="0"/>
  </r>
  <r>
    <x v="90"/>
    <x v="0"/>
    <n v="1"/>
    <n v="1"/>
    <n v="1"/>
    <n v="0"/>
    <n v="0"/>
  </r>
  <r>
    <x v="90"/>
    <x v="12"/>
    <n v="2"/>
    <n v="0"/>
    <n v="0"/>
    <n v="0"/>
    <n v="0"/>
  </r>
  <r>
    <x v="90"/>
    <x v="2"/>
    <n v="10"/>
    <n v="10"/>
    <n v="7"/>
    <n v="3"/>
    <n v="0"/>
  </r>
  <r>
    <x v="90"/>
    <x v="2"/>
    <n v="9"/>
    <n v="9"/>
    <n v="6"/>
    <n v="3"/>
    <n v="0"/>
  </r>
  <r>
    <x v="90"/>
    <x v="3"/>
    <n v="48"/>
    <n v="48"/>
    <n v="41"/>
    <n v="7"/>
    <n v="0"/>
  </r>
  <r>
    <x v="90"/>
    <x v="3"/>
    <n v="21"/>
    <n v="21"/>
    <n v="17"/>
    <n v="4"/>
    <n v="0"/>
  </r>
  <r>
    <x v="90"/>
    <x v="4"/>
    <n v="53"/>
    <n v="52"/>
    <n v="47"/>
    <n v="5"/>
    <n v="0"/>
  </r>
  <r>
    <x v="90"/>
    <x v="4"/>
    <n v="32"/>
    <n v="32"/>
    <n v="24"/>
    <n v="8"/>
    <n v="0"/>
  </r>
  <r>
    <x v="90"/>
    <x v="13"/>
    <n v="1"/>
    <n v="1"/>
    <n v="1"/>
    <n v="0"/>
    <n v="0"/>
  </r>
  <r>
    <x v="90"/>
    <x v="5"/>
    <n v="137"/>
    <n v="136"/>
    <n v="130"/>
    <n v="6"/>
    <n v="0"/>
  </r>
  <r>
    <x v="90"/>
    <x v="5"/>
    <n v="89"/>
    <n v="89"/>
    <n v="75"/>
    <n v="14"/>
    <n v="0"/>
  </r>
  <r>
    <x v="90"/>
    <x v="6"/>
    <n v="129"/>
    <n v="128"/>
    <n v="126"/>
    <n v="2"/>
    <n v="0"/>
  </r>
  <r>
    <x v="90"/>
    <x v="6"/>
    <n v="12"/>
    <n v="12"/>
    <n v="12"/>
    <n v="0"/>
    <n v="0"/>
  </r>
  <r>
    <x v="90"/>
    <x v="8"/>
    <n v="9"/>
    <n v="9"/>
    <n v="9"/>
    <n v="0"/>
    <n v="0"/>
  </r>
  <r>
    <x v="90"/>
    <x v="8"/>
    <n v="4"/>
    <n v="4"/>
    <n v="4"/>
    <n v="0"/>
    <n v="0"/>
  </r>
  <r>
    <x v="90"/>
    <x v="9"/>
    <n v="9"/>
    <n v="9"/>
    <n v="9"/>
    <n v="0"/>
    <n v="0"/>
  </r>
  <r>
    <x v="90"/>
    <x v="10"/>
    <n v="106"/>
    <n v="105"/>
    <n v="102"/>
    <n v="3"/>
    <n v="0"/>
  </r>
  <r>
    <x v="90"/>
    <x v="10"/>
    <n v="43"/>
    <n v="43"/>
    <n v="39"/>
    <n v="4"/>
    <n v="0"/>
  </r>
  <r>
    <x v="90"/>
    <x v="11"/>
    <n v="8"/>
    <n v="8"/>
    <n v="7"/>
    <n v="1"/>
    <n v="0"/>
  </r>
  <r>
    <x v="91"/>
    <x v="0"/>
    <n v="1"/>
    <n v="1"/>
    <n v="1"/>
    <n v="0"/>
    <n v="0"/>
  </r>
  <r>
    <x v="91"/>
    <x v="0"/>
    <n v="1"/>
    <n v="1"/>
    <n v="1"/>
    <n v="0"/>
    <n v="0"/>
  </r>
  <r>
    <x v="91"/>
    <x v="2"/>
    <n v="3"/>
    <n v="3"/>
    <n v="2"/>
    <n v="1"/>
    <n v="0"/>
  </r>
  <r>
    <x v="91"/>
    <x v="2"/>
    <n v="7"/>
    <n v="7"/>
    <n v="6"/>
    <n v="1"/>
    <n v="0"/>
  </r>
  <r>
    <x v="91"/>
    <x v="3"/>
    <n v="16"/>
    <n v="16"/>
    <n v="16"/>
    <n v="0"/>
    <n v="0"/>
  </r>
  <r>
    <x v="91"/>
    <x v="3"/>
    <n v="21"/>
    <n v="21"/>
    <n v="21"/>
    <n v="0"/>
    <n v="0"/>
  </r>
  <r>
    <x v="91"/>
    <x v="4"/>
    <n v="25"/>
    <n v="23"/>
    <n v="19"/>
    <n v="4"/>
    <n v="0"/>
  </r>
  <r>
    <x v="91"/>
    <x v="4"/>
    <n v="22"/>
    <n v="22"/>
    <n v="21"/>
    <n v="1"/>
    <n v="0"/>
  </r>
  <r>
    <x v="91"/>
    <x v="5"/>
    <n v="20"/>
    <n v="20"/>
    <n v="19"/>
    <n v="1"/>
    <n v="0"/>
  </r>
  <r>
    <x v="91"/>
    <x v="5"/>
    <n v="8"/>
    <n v="8"/>
    <n v="8"/>
    <n v="0"/>
    <n v="0"/>
  </r>
  <r>
    <x v="91"/>
    <x v="6"/>
    <n v="14"/>
    <n v="14"/>
    <n v="14"/>
    <n v="0"/>
    <n v="0"/>
  </r>
  <r>
    <x v="91"/>
    <x v="6"/>
    <n v="1"/>
    <n v="1"/>
    <n v="1"/>
    <n v="0"/>
    <n v="0"/>
  </r>
  <r>
    <x v="91"/>
    <x v="8"/>
    <n v="2"/>
    <n v="2"/>
    <n v="2"/>
    <n v="0"/>
    <n v="0"/>
  </r>
  <r>
    <x v="91"/>
    <x v="8"/>
    <n v="2"/>
    <n v="2"/>
    <n v="2"/>
    <n v="0"/>
    <n v="0"/>
  </r>
  <r>
    <x v="91"/>
    <x v="10"/>
    <n v="13"/>
    <n v="13"/>
    <n v="11"/>
    <n v="2"/>
    <n v="0"/>
  </r>
  <r>
    <x v="91"/>
    <x v="10"/>
    <n v="11"/>
    <n v="11"/>
    <n v="11"/>
    <n v="0"/>
    <n v="0"/>
  </r>
  <r>
    <x v="91"/>
    <x v="11"/>
    <n v="1"/>
    <n v="1"/>
    <n v="1"/>
    <n v="0"/>
    <n v="0"/>
  </r>
  <r>
    <x v="91"/>
    <x v="11"/>
    <n v="4"/>
    <n v="4"/>
    <n v="4"/>
    <n v="0"/>
    <n v="0"/>
  </r>
  <r>
    <x v="92"/>
    <x v="0"/>
    <n v="2"/>
    <n v="1"/>
    <n v="1"/>
    <n v="0"/>
    <n v="0"/>
  </r>
  <r>
    <x v="92"/>
    <x v="2"/>
    <n v="6"/>
    <n v="6"/>
    <n v="6"/>
    <n v="0"/>
    <n v="0"/>
  </r>
  <r>
    <x v="92"/>
    <x v="2"/>
    <n v="4"/>
    <n v="4"/>
    <n v="4"/>
    <n v="0"/>
    <n v="0"/>
  </r>
  <r>
    <x v="92"/>
    <x v="3"/>
    <n v="6"/>
    <n v="6"/>
    <n v="6"/>
    <n v="0"/>
    <n v="0"/>
  </r>
  <r>
    <x v="92"/>
    <x v="3"/>
    <n v="1"/>
    <n v="1"/>
    <n v="1"/>
    <n v="0"/>
    <n v="0"/>
  </r>
  <r>
    <x v="92"/>
    <x v="4"/>
    <n v="11"/>
    <n v="9"/>
    <n v="7"/>
    <n v="2"/>
    <n v="0"/>
  </r>
  <r>
    <x v="92"/>
    <x v="4"/>
    <n v="10"/>
    <n v="9"/>
    <n v="9"/>
    <n v="0"/>
    <n v="0"/>
  </r>
  <r>
    <x v="92"/>
    <x v="5"/>
    <n v="20"/>
    <n v="20"/>
    <n v="19"/>
    <n v="1"/>
    <n v="0"/>
  </r>
  <r>
    <x v="92"/>
    <x v="5"/>
    <n v="6"/>
    <n v="5"/>
    <n v="5"/>
    <n v="0"/>
    <n v="0"/>
  </r>
  <r>
    <x v="92"/>
    <x v="6"/>
    <n v="2"/>
    <n v="2"/>
    <n v="2"/>
    <n v="0"/>
    <n v="0"/>
  </r>
  <r>
    <x v="92"/>
    <x v="7"/>
    <n v="1"/>
    <n v="1"/>
    <n v="1"/>
    <n v="0"/>
    <n v="0"/>
  </r>
  <r>
    <x v="92"/>
    <x v="8"/>
    <n v="4"/>
    <n v="4"/>
    <n v="4"/>
    <n v="0"/>
    <n v="0"/>
  </r>
  <r>
    <x v="92"/>
    <x v="8"/>
    <n v="3"/>
    <n v="2"/>
    <n v="1"/>
    <n v="1"/>
    <n v="0"/>
  </r>
  <r>
    <x v="92"/>
    <x v="9"/>
    <n v="3"/>
    <n v="3"/>
    <n v="3"/>
    <n v="0"/>
    <n v="0"/>
  </r>
  <r>
    <x v="92"/>
    <x v="9"/>
    <n v="2"/>
    <n v="2"/>
    <n v="2"/>
    <n v="0"/>
    <n v="0"/>
  </r>
  <r>
    <x v="92"/>
    <x v="10"/>
    <n v="14"/>
    <n v="14"/>
    <n v="11"/>
    <n v="3"/>
    <n v="0"/>
  </r>
  <r>
    <x v="92"/>
    <x v="10"/>
    <n v="6"/>
    <n v="5"/>
    <n v="2"/>
    <n v="3"/>
    <n v="0"/>
  </r>
  <r>
    <x v="92"/>
    <x v="11"/>
    <n v="2"/>
    <n v="2"/>
    <n v="2"/>
    <n v="0"/>
    <n v="0"/>
  </r>
  <r>
    <x v="92"/>
    <x v="11"/>
    <n v="4"/>
    <n v="4"/>
    <n v="3"/>
    <n v="1"/>
    <n v="0"/>
  </r>
  <r>
    <x v="93"/>
    <x v="14"/>
    <n v="1"/>
    <n v="1"/>
    <n v="1"/>
    <n v="0"/>
    <n v="0"/>
  </r>
  <r>
    <x v="93"/>
    <x v="0"/>
    <n v="5"/>
    <n v="5"/>
    <n v="4"/>
    <n v="1"/>
    <n v="0"/>
  </r>
  <r>
    <x v="93"/>
    <x v="0"/>
    <n v="9"/>
    <n v="9"/>
    <n v="8"/>
    <n v="1"/>
    <n v="0"/>
  </r>
  <r>
    <x v="93"/>
    <x v="12"/>
    <n v="1"/>
    <n v="0"/>
    <n v="0"/>
    <n v="0"/>
    <n v="0"/>
  </r>
  <r>
    <x v="93"/>
    <x v="2"/>
    <n v="32"/>
    <n v="32"/>
    <n v="29"/>
    <n v="3"/>
    <n v="0"/>
  </r>
  <r>
    <x v="93"/>
    <x v="2"/>
    <n v="37"/>
    <n v="37"/>
    <n v="34"/>
    <n v="3"/>
    <n v="0"/>
  </r>
  <r>
    <x v="93"/>
    <x v="3"/>
    <n v="42"/>
    <n v="42"/>
    <n v="36"/>
    <n v="6"/>
    <n v="0"/>
  </r>
  <r>
    <x v="93"/>
    <x v="3"/>
    <n v="19"/>
    <n v="19"/>
    <n v="15"/>
    <n v="4"/>
    <n v="0"/>
  </r>
  <r>
    <x v="93"/>
    <x v="4"/>
    <n v="136"/>
    <n v="135"/>
    <n v="119"/>
    <n v="16"/>
    <n v="0"/>
  </r>
  <r>
    <x v="93"/>
    <x v="4"/>
    <n v="64"/>
    <n v="59"/>
    <n v="51"/>
    <n v="8"/>
    <n v="0"/>
  </r>
  <r>
    <x v="93"/>
    <x v="5"/>
    <n v="91"/>
    <n v="90"/>
    <n v="81"/>
    <n v="9"/>
    <n v="0"/>
  </r>
  <r>
    <x v="93"/>
    <x v="5"/>
    <n v="52"/>
    <n v="52"/>
    <n v="45"/>
    <n v="7"/>
    <n v="0"/>
  </r>
  <r>
    <x v="93"/>
    <x v="6"/>
    <n v="4"/>
    <n v="4"/>
    <n v="4"/>
    <n v="0"/>
    <n v="0"/>
  </r>
  <r>
    <x v="93"/>
    <x v="6"/>
    <n v="1"/>
    <n v="1"/>
    <n v="1"/>
    <n v="0"/>
    <n v="0"/>
  </r>
  <r>
    <x v="93"/>
    <x v="7"/>
    <n v="1"/>
    <n v="1"/>
    <n v="1"/>
    <n v="0"/>
    <n v="0"/>
  </r>
  <r>
    <x v="93"/>
    <x v="7"/>
    <n v="2"/>
    <n v="2"/>
    <n v="0"/>
    <n v="2"/>
    <n v="0"/>
  </r>
  <r>
    <x v="93"/>
    <x v="8"/>
    <n v="8"/>
    <n v="8"/>
    <n v="5"/>
    <n v="3"/>
    <n v="0"/>
  </r>
  <r>
    <x v="93"/>
    <x v="8"/>
    <n v="6"/>
    <n v="6"/>
    <n v="4"/>
    <n v="2"/>
    <n v="0"/>
  </r>
  <r>
    <x v="93"/>
    <x v="9"/>
    <n v="11"/>
    <n v="11"/>
    <n v="8"/>
    <n v="3"/>
    <n v="0"/>
  </r>
  <r>
    <x v="93"/>
    <x v="9"/>
    <n v="1"/>
    <n v="1"/>
    <n v="1"/>
    <n v="0"/>
    <n v="0"/>
  </r>
  <r>
    <x v="93"/>
    <x v="10"/>
    <n v="40"/>
    <n v="40"/>
    <n v="35"/>
    <n v="5"/>
    <n v="0"/>
  </r>
  <r>
    <x v="93"/>
    <x v="10"/>
    <n v="38"/>
    <n v="38"/>
    <n v="31"/>
    <n v="7"/>
    <n v="0"/>
  </r>
  <r>
    <x v="93"/>
    <x v="11"/>
    <n v="27"/>
    <n v="27"/>
    <n v="27"/>
    <n v="0"/>
    <n v="0"/>
  </r>
  <r>
    <x v="94"/>
    <x v="0"/>
    <n v="2"/>
    <n v="1"/>
    <n v="1"/>
    <n v="0"/>
    <n v="0"/>
  </r>
  <r>
    <x v="94"/>
    <x v="0"/>
    <n v="4"/>
    <n v="4"/>
    <n v="4"/>
    <n v="0"/>
    <n v="0"/>
  </r>
  <r>
    <x v="94"/>
    <x v="12"/>
    <n v="2"/>
    <n v="0"/>
    <n v="0"/>
    <n v="0"/>
    <n v="0"/>
  </r>
  <r>
    <x v="94"/>
    <x v="2"/>
    <n v="5"/>
    <n v="5"/>
    <n v="3"/>
    <n v="2"/>
    <n v="0"/>
  </r>
  <r>
    <x v="94"/>
    <x v="2"/>
    <n v="9"/>
    <n v="9"/>
    <n v="9"/>
    <n v="0"/>
    <n v="0"/>
  </r>
  <r>
    <x v="94"/>
    <x v="3"/>
    <n v="10"/>
    <n v="10"/>
    <n v="8"/>
    <n v="2"/>
    <n v="0"/>
  </r>
  <r>
    <x v="94"/>
    <x v="3"/>
    <n v="12"/>
    <n v="12"/>
    <n v="8"/>
    <n v="4"/>
    <n v="0"/>
  </r>
  <r>
    <x v="94"/>
    <x v="4"/>
    <n v="11"/>
    <n v="9"/>
    <n v="8"/>
    <n v="1"/>
    <n v="1"/>
  </r>
  <r>
    <x v="94"/>
    <x v="4"/>
    <n v="16"/>
    <n v="15"/>
    <n v="14"/>
    <n v="1"/>
    <n v="0"/>
  </r>
  <r>
    <x v="94"/>
    <x v="5"/>
    <n v="32"/>
    <n v="32"/>
    <n v="29"/>
    <n v="3"/>
    <n v="0"/>
  </r>
  <r>
    <x v="94"/>
    <x v="5"/>
    <n v="15"/>
    <n v="15"/>
    <n v="14"/>
    <n v="1"/>
    <n v="0"/>
  </r>
  <r>
    <x v="94"/>
    <x v="6"/>
    <n v="4"/>
    <n v="4"/>
    <n v="4"/>
    <n v="0"/>
    <n v="0"/>
  </r>
  <r>
    <x v="94"/>
    <x v="6"/>
    <n v="4"/>
    <n v="4"/>
    <n v="4"/>
    <n v="0"/>
    <n v="0"/>
  </r>
  <r>
    <x v="94"/>
    <x v="8"/>
    <n v="3"/>
    <n v="3"/>
    <n v="2"/>
    <n v="1"/>
    <n v="0"/>
  </r>
  <r>
    <x v="94"/>
    <x v="8"/>
    <n v="4"/>
    <n v="4"/>
    <n v="4"/>
    <n v="0"/>
    <n v="0"/>
  </r>
  <r>
    <x v="94"/>
    <x v="9"/>
    <n v="4"/>
    <n v="4"/>
    <n v="3"/>
    <n v="1"/>
    <n v="0"/>
  </r>
  <r>
    <x v="94"/>
    <x v="9"/>
    <n v="3"/>
    <n v="3"/>
    <n v="3"/>
    <n v="0"/>
    <n v="0"/>
  </r>
  <r>
    <x v="94"/>
    <x v="10"/>
    <n v="43"/>
    <n v="43"/>
    <n v="40"/>
    <n v="3"/>
    <n v="0"/>
  </r>
  <r>
    <x v="94"/>
    <x v="10"/>
    <n v="26"/>
    <n v="26"/>
    <n v="21"/>
    <n v="5"/>
    <n v="0"/>
  </r>
  <r>
    <x v="95"/>
    <x v="2"/>
    <n v="8"/>
    <n v="8"/>
    <n v="8"/>
    <n v="0"/>
    <n v="0"/>
  </r>
  <r>
    <x v="95"/>
    <x v="2"/>
    <n v="13"/>
    <n v="13"/>
    <n v="12"/>
    <n v="1"/>
    <n v="0"/>
  </r>
  <r>
    <x v="95"/>
    <x v="3"/>
    <n v="22"/>
    <n v="22"/>
    <n v="19"/>
    <n v="3"/>
    <n v="0"/>
  </r>
  <r>
    <x v="95"/>
    <x v="3"/>
    <n v="16"/>
    <n v="15"/>
    <n v="13"/>
    <n v="2"/>
    <n v="1"/>
  </r>
  <r>
    <x v="95"/>
    <x v="4"/>
    <n v="33"/>
    <n v="32"/>
    <n v="28"/>
    <n v="4"/>
    <n v="1"/>
  </r>
  <r>
    <x v="95"/>
    <x v="4"/>
    <n v="16"/>
    <n v="16"/>
    <n v="16"/>
    <n v="0"/>
    <n v="0"/>
  </r>
  <r>
    <x v="95"/>
    <x v="5"/>
    <n v="18"/>
    <n v="18"/>
    <n v="18"/>
    <n v="0"/>
    <n v="0"/>
  </r>
  <r>
    <x v="95"/>
    <x v="5"/>
    <n v="11"/>
    <n v="11"/>
    <n v="10"/>
    <n v="1"/>
    <n v="0"/>
  </r>
  <r>
    <x v="95"/>
    <x v="6"/>
    <n v="20"/>
    <n v="20"/>
    <n v="20"/>
    <n v="0"/>
    <n v="0"/>
  </r>
  <r>
    <x v="95"/>
    <x v="6"/>
    <n v="7"/>
    <n v="7"/>
    <n v="7"/>
    <n v="0"/>
    <n v="0"/>
  </r>
  <r>
    <x v="95"/>
    <x v="7"/>
    <n v="1"/>
    <n v="1"/>
    <n v="1"/>
    <n v="0"/>
    <n v="0"/>
  </r>
  <r>
    <x v="95"/>
    <x v="7"/>
    <n v="2"/>
    <n v="2"/>
    <n v="2"/>
    <n v="0"/>
    <n v="0"/>
  </r>
  <r>
    <x v="95"/>
    <x v="8"/>
    <n v="10"/>
    <n v="10"/>
    <n v="10"/>
    <n v="0"/>
    <n v="0"/>
  </r>
  <r>
    <x v="95"/>
    <x v="8"/>
    <n v="6"/>
    <n v="6"/>
    <n v="6"/>
    <n v="0"/>
    <n v="0"/>
  </r>
  <r>
    <x v="95"/>
    <x v="9"/>
    <n v="7"/>
    <n v="7"/>
    <n v="7"/>
    <n v="0"/>
    <n v="0"/>
  </r>
  <r>
    <x v="95"/>
    <x v="9"/>
    <n v="3"/>
    <n v="3"/>
    <n v="3"/>
    <n v="0"/>
    <n v="0"/>
  </r>
  <r>
    <x v="95"/>
    <x v="10"/>
    <n v="27"/>
    <n v="27"/>
    <n v="27"/>
    <n v="0"/>
    <n v="0"/>
  </r>
  <r>
    <x v="95"/>
    <x v="10"/>
    <n v="16"/>
    <n v="16"/>
    <n v="16"/>
    <n v="0"/>
    <n v="0"/>
  </r>
  <r>
    <x v="95"/>
    <x v="11"/>
    <n v="12"/>
    <n v="12"/>
    <n v="9"/>
    <n v="3"/>
    <n v="0"/>
  </r>
  <r>
    <x v="95"/>
    <x v="11"/>
    <n v="11"/>
    <n v="10"/>
    <n v="10"/>
    <n v="0"/>
    <n v="0"/>
  </r>
  <r>
    <x v="96"/>
    <x v="12"/>
    <n v="1"/>
    <n v="0"/>
    <n v="0"/>
    <n v="0"/>
    <n v="0"/>
  </r>
  <r>
    <x v="96"/>
    <x v="2"/>
    <n v="5"/>
    <n v="4"/>
    <n v="4"/>
    <n v="0"/>
    <n v="0"/>
  </r>
  <r>
    <x v="96"/>
    <x v="2"/>
    <n v="1"/>
    <n v="0"/>
    <n v="0"/>
    <n v="0"/>
    <n v="0"/>
  </r>
  <r>
    <x v="96"/>
    <x v="3"/>
    <n v="9"/>
    <n v="7"/>
    <n v="6"/>
    <n v="1"/>
    <n v="0"/>
  </r>
  <r>
    <x v="96"/>
    <x v="3"/>
    <n v="9"/>
    <n v="6"/>
    <n v="6"/>
    <n v="0"/>
    <n v="0"/>
  </r>
  <r>
    <x v="96"/>
    <x v="4"/>
    <n v="17"/>
    <n v="17"/>
    <n v="16"/>
    <n v="1"/>
    <n v="0"/>
  </r>
  <r>
    <x v="96"/>
    <x v="4"/>
    <n v="13"/>
    <n v="12"/>
    <n v="12"/>
    <n v="0"/>
    <n v="0"/>
  </r>
  <r>
    <x v="96"/>
    <x v="5"/>
    <n v="21"/>
    <n v="20"/>
    <n v="20"/>
    <n v="0"/>
    <n v="0"/>
  </r>
  <r>
    <x v="96"/>
    <x v="5"/>
    <n v="9"/>
    <n v="4"/>
    <n v="4"/>
    <n v="0"/>
    <n v="0"/>
  </r>
  <r>
    <x v="96"/>
    <x v="7"/>
    <n v="6"/>
    <n v="0"/>
    <n v="0"/>
    <n v="0"/>
    <n v="0"/>
  </r>
  <r>
    <x v="96"/>
    <x v="8"/>
    <n v="5"/>
    <n v="0"/>
    <n v="0"/>
    <n v="0"/>
    <n v="0"/>
  </r>
  <r>
    <x v="96"/>
    <x v="8"/>
    <n v="1"/>
    <n v="0"/>
    <n v="0"/>
    <n v="0"/>
    <n v="0"/>
  </r>
  <r>
    <x v="96"/>
    <x v="9"/>
    <n v="6"/>
    <n v="1"/>
    <n v="1"/>
    <n v="0"/>
    <n v="0"/>
  </r>
  <r>
    <x v="96"/>
    <x v="9"/>
    <n v="1"/>
    <n v="0"/>
    <n v="0"/>
    <n v="0"/>
    <n v="0"/>
  </r>
  <r>
    <x v="96"/>
    <x v="10"/>
    <n v="16"/>
    <n v="12"/>
    <n v="12"/>
    <n v="0"/>
    <n v="0"/>
  </r>
  <r>
    <x v="96"/>
    <x v="10"/>
    <n v="5"/>
    <n v="0"/>
    <n v="0"/>
    <n v="0"/>
    <n v="0"/>
  </r>
  <r>
    <x v="97"/>
    <x v="0"/>
    <n v="3"/>
    <n v="3"/>
    <n v="3"/>
    <n v="0"/>
    <n v="0"/>
  </r>
  <r>
    <x v="97"/>
    <x v="0"/>
    <n v="3"/>
    <n v="2"/>
    <n v="2"/>
    <n v="0"/>
    <n v="0"/>
  </r>
  <r>
    <x v="97"/>
    <x v="12"/>
    <n v="1"/>
    <n v="0"/>
    <n v="0"/>
    <n v="0"/>
    <n v="0"/>
  </r>
  <r>
    <x v="97"/>
    <x v="2"/>
    <n v="13"/>
    <n v="13"/>
    <n v="13"/>
    <n v="0"/>
    <n v="0"/>
  </r>
  <r>
    <x v="97"/>
    <x v="2"/>
    <n v="13"/>
    <n v="12"/>
    <n v="12"/>
    <n v="0"/>
    <n v="0"/>
  </r>
  <r>
    <x v="97"/>
    <x v="3"/>
    <n v="49"/>
    <n v="49"/>
    <n v="46"/>
    <n v="3"/>
    <n v="0"/>
  </r>
  <r>
    <x v="97"/>
    <x v="3"/>
    <n v="45"/>
    <n v="45"/>
    <n v="37"/>
    <n v="8"/>
    <n v="0"/>
  </r>
  <r>
    <x v="97"/>
    <x v="4"/>
    <n v="68"/>
    <n v="65"/>
    <n v="60"/>
    <n v="5"/>
    <n v="0"/>
  </r>
  <r>
    <x v="97"/>
    <x v="4"/>
    <n v="52"/>
    <n v="51"/>
    <n v="48"/>
    <n v="3"/>
    <n v="1"/>
  </r>
  <r>
    <x v="97"/>
    <x v="5"/>
    <n v="31"/>
    <n v="31"/>
    <n v="27"/>
    <n v="4"/>
    <n v="0"/>
  </r>
  <r>
    <x v="97"/>
    <x v="5"/>
    <n v="28"/>
    <n v="28"/>
    <n v="23"/>
    <n v="5"/>
    <n v="0"/>
  </r>
  <r>
    <x v="97"/>
    <x v="6"/>
    <n v="2"/>
    <n v="2"/>
    <n v="2"/>
    <n v="0"/>
    <n v="0"/>
  </r>
  <r>
    <x v="97"/>
    <x v="6"/>
    <n v="8"/>
    <n v="8"/>
    <n v="7"/>
    <n v="1"/>
    <n v="0"/>
  </r>
  <r>
    <x v="97"/>
    <x v="7"/>
    <n v="6"/>
    <n v="6"/>
    <n v="6"/>
    <n v="0"/>
    <n v="0"/>
  </r>
  <r>
    <x v="97"/>
    <x v="7"/>
    <n v="4"/>
    <n v="4"/>
    <n v="4"/>
    <n v="0"/>
    <n v="0"/>
  </r>
  <r>
    <x v="97"/>
    <x v="8"/>
    <n v="12"/>
    <n v="12"/>
    <n v="12"/>
    <n v="0"/>
    <n v="0"/>
  </r>
  <r>
    <x v="97"/>
    <x v="8"/>
    <n v="18"/>
    <n v="18"/>
    <n v="15"/>
    <n v="3"/>
    <n v="0"/>
  </r>
  <r>
    <x v="97"/>
    <x v="9"/>
    <n v="12"/>
    <n v="12"/>
    <n v="12"/>
    <n v="0"/>
    <n v="0"/>
  </r>
  <r>
    <x v="97"/>
    <x v="9"/>
    <n v="11"/>
    <n v="11"/>
    <n v="10"/>
    <n v="1"/>
    <n v="0"/>
  </r>
  <r>
    <x v="97"/>
    <x v="10"/>
    <n v="45"/>
    <n v="45"/>
    <n v="42"/>
    <n v="3"/>
    <n v="0"/>
  </r>
  <r>
    <x v="97"/>
    <x v="10"/>
    <n v="47"/>
    <n v="47"/>
    <n v="42"/>
    <n v="5"/>
    <n v="0"/>
  </r>
  <r>
    <x v="97"/>
    <x v="11"/>
    <n v="12"/>
    <n v="12"/>
    <n v="12"/>
    <n v="0"/>
    <n v="0"/>
  </r>
  <r>
    <x v="97"/>
    <x v="11"/>
    <n v="10"/>
    <n v="10"/>
    <n v="10"/>
    <n v="0"/>
    <n v="0"/>
  </r>
  <r>
    <x v="98"/>
    <x v="0"/>
    <n v="6"/>
    <n v="5"/>
    <n v="4"/>
    <n v="1"/>
    <n v="0"/>
  </r>
  <r>
    <x v="98"/>
    <x v="0"/>
    <n v="7"/>
    <n v="7"/>
    <n v="7"/>
    <n v="0"/>
    <n v="0"/>
  </r>
  <r>
    <x v="98"/>
    <x v="2"/>
    <n v="88"/>
    <n v="87"/>
    <n v="87"/>
    <n v="0"/>
    <n v="0"/>
  </r>
  <r>
    <x v="98"/>
    <x v="2"/>
    <n v="53"/>
    <n v="52"/>
    <n v="50"/>
    <n v="2"/>
    <n v="0"/>
  </r>
  <r>
    <x v="98"/>
    <x v="3"/>
    <n v="94"/>
    <n v="91"/>
    <n v="78"/>
    <n v="13"/>
    <n v="0"/>
  </r>
  <r>
    <x v="98"/>
    <x v="3"/>
    <n v="50"/>
    <n v="50"/>
    <n v="40"/>
    <n v="10"/>
    <n v="0"/>
  </r>
  <r>
    <x v="98"/>
    <x v="4"/>
    <n v="145"/>
    <n v="116"/>
    <n v="110"/>
    <n v="6"/>
    <n v="0"/>
  </r>
  <r>
    <x v="98"/>
    <x v="4"/>
    <n v="83"/>
    <n v="62"/>
    <n v="60"/>
    <n v="2"/>
    <n v="0"/>
  </r>
  <r>
    <x v="98"/>
    <x v="5"/>
    <n v="150"/>
    <n v="148"/>
    <n v="138"/>
    <n v="10"/>
    <n v="0"/>
  </r>
  <r>
    <x v="98"/>
    <x v="5"/>
    <n v="69"/>
    <n v="65"/>
    <n v="61"/>
    <n v="4"/>
    <n v="0"/>
  </r>
  <r>
    <x v="98"/>
    <x v="6"/>
    <n v="97"/>
    <n v="97"/>
    <n v="97"/>
    <n v="0"/>
    <n v="0"/>
  </r>
  <r>
    <x v="98"/>
    <x v="6"/>
    <n v="23"/>
    <n v="23"/>
    <n v="23"/>
    <n v="0"/>
    <n v="0"/>
  </r>
  <r>
    <x v="98"/>
    <x v="8"/>
    <n v="30"/>
    <n v="28"/>
    <n v="19"/>
    <n v="9"/>
    <n v="0"/>
  </r>
  <r>
    <x v="98"/>
    <x v="8"/>
    <n v="20"/>
    <n v="12"/>
    <n v="7"/>
    <n v="5"/>
    <n v="0"/>
  </r>
  <r>
    <x v="98"/>
    <x v="9"/>
    <n v="19"/>
    <n v="19"/>
    <n v="16"/>
    <n v="3"/>
    <n v="0"/>
  </r>
  <r>
    <x v="98"/>
    <x v="9"/>
    <n v="6"/>
    <n v="5"/>
    <n v="3"/>
    <n v="2"/>
    <n v="0"/>
  </r>
  <r>
    <x v="98"/>
    <x v="10"/>
    <n v="150"/>
    <n v="148"/>
    <n v="141"/>
    <n v="7"/>
    <n v="1"/>
  </r>
  <r>
    <x v="98"/>
    <x v="10"/>
    <n v="113"/>
    <n v="113"/>
    <n v="102"/>
    <n v="11"/>
    <n v="0"/>
  </r>
  <r>
    <x v="98"/>
    <x v="11"/>
    <n v="78"/>
    <n v="75"/>
    <n v="73"/>
    <n v="2"/>
    <n v="0"/>
  </r>
  <r>
    <x v="98"/>
    <x v="11"/>
    <n v="49"/>
    <n v="43"/>
    <n v="43"/>
    <n v="0"/>
    <n v="0"/>
  </r>
  <r>
    <x v="99"/>
    <x v="0"/>
    <n v="4"/>
    <n v="3"/>
    <n v="3"/>
    <n v="0"/>
    <n v="0"/>
  </r>
  <r>
    <x v="99"/>
    <x v="0"/>
    <n v="2"/>
    <n v="2"/>
    <n v="2"/>
    <n v="0"/>
    <n v="0"/>
  </r>
  <r>
    <x v="99"/>
    <x v="3"/>
    <n v="30"/>
    <n v="30"/>
    <n v="29"/>
    <n v="1"/>
    <n v="0"/>
  </r>
  <r>
    <x v="99"/>
    <x v="3"/>
    <n v="21"/>
    <n v="21"/>
    <n v="19"/>
    <n v="2"/>
    <n v="0"/>
  </r>
  <r>
    <x v="99"/>
    <x v="4"/>
    <n v="44"/>
    <n v="42"/>
    <n v="31"/>
    <n v="11"/>
    <n v="0"/>
  </r>
  <r>
    <x v="99"/>
    <x v="4"/>
    <n v="28"/>
    <n v="26"/>
    <n v="25"/>
    <n v="1"/>
    <n v="0"/>
  </r>
  <r>
    <x v="99"/>
    <x v="13"/>
    <n v="1"/>
    <n v="1"/>
    <n v="1"/>
    <n v="0"/>
    <n v="0"/>
  </r>
  <r>
    <x v="99"/>
    <x v="5"/>
    <n v="65"/>
    <n v="63"/>
    <n v="52"/>
    <n v="11"/>
    <n v="0"/>
  </r>
  <r>
    <x v="99"/>
    <x v="5"/>
    <n v="57"/>
    <n v="57"/>
    <n v="55"/>
    <n v="2"/>
    <n v="0"/>
  </r>
  <r>
    <x v="99"/>
    <x v="6"/>
    <n v="18"/>
    <n v="16"/>
    <n v="16"/>
    <n v="0"/>
    <n v="0"/>
  </r>
  <r>
    <x v="99"/>
    <x v="6"/>
    <n v="24"/>
    <n v="22"/>
    <n v="22"/>
    <n v="0"/>
    <n v="0"/>
  </r>
  <r>
    <x v="99"/>
    <x v="7"/>
    <n v="8"/>
    <n v="6"/>
    <n v="6"/>
    <n v="0"/>
    <n v="0"/>
  </r>
  <r>
    <x v="99"/>
    <x v="8"/>
    <n v="5"/>
    <n v="5"/>
    <n v="4"/>
    <n v="1"/>
    <n v="0"/>
  </r>
  <r>
    <x v="99"/>
    <x v="9"/>
    <n v="4"/>
    <n v="4"/>
    <n v="3"/>
    <n v="1"/>
    <n v="0"/>
  </r>
  <r>
    <x v="99"/>
    <x v="10"/>
    <n v="22"/>
    <n v="22"/>
    <n v="20"/>
    <n v="2"/>
    <n v="0"/>
  </r>
  <r>
    <x v="99"/>
    <x v="10"/>
    <n v="6"/>
    <n v="6"/>
    <n v="6"/>
    <n v="0"/>
    <n v="0"/>
  </r>
  <r>
    <x v="100"/>
    <x v="0"/>
    <n v="23"/>
    <n v="22"/>
    <n v="9"/>
    <n v="13"/>
    <n v="0"/>
  </r>
  <r>
    <x v="100"/>
    <x v="0"/>
    <n v="18"/>
    <n v="16"/>
    <n v="13"/>
    <n v="3"/>
    <n v="0"/>
  </r>
  <r>
    <x v="100"/>
    <x v="12"/>
    <n v="2"/>
    <n v="0"/>
    <n v="0"/>
    <n v="0"/>
    <n v="0"/>
  </r>
  <r>
    <x v="100"/>
    <x v="2"/>
    <n v="28"/>
    <n v="26"/>
    <n v="19"/>
    <n v="7"/>
    <n v="0"/>
  </r>
  <r>
    <x v="100"/>
    <x v="2"/>
    <n v="22"/>
    <n v="21"/>
    <n v="18"/>
    <n v="3"/>
    <n v="0"/>
  </r>
  <r>
    <x v="100"/>
    <x v="3"/>
    <n v="49"/>
    <n v="46"/>
    <n v="38"/>
    <n v="8"/>
    <n v="0"/>
  </r>
  <r>
    <x v="100"/>
    <x v="3"/>
    <n v="45"/>
    <n v="44"/>
    <n v="32"/>
    <n v="12"/>
    <n v="0"/>
  </r>
  <r>
    <x v="100"/>
    <x v="4"/>
    <n v="77"/>
    <n v="71"/>
    <n v="55"/>
    <n v="16"/>
    <n v="1"/>
  </r>
  <r>
    <x v="100"/>
    <x v="4"/>
    <n v="68"/>
    <n v="63"/>
    <n v="55"/>
    <n v="8"/>
    <n v="0"/>
  </r>
  <r>
    <x v="100"/>
    <x v="5"/>
    <n v="59"/>
    <n v="54"/>
    <n v="40"/>
    <n v="14"/>
    <n v="0"/>
  </r>
  <r>
    <x v="100"/>
    <x v="5"/>
    <n v="33"/>
    <n v="32"/>
    <n v="24"/>
    <n v="8"/>
    <n v="0"/>
  </r>
  <r>
    <x v="100"/>
    <x v="6"/>
    <n v="62"/>
    <n v="60"/>
    <n v="60"/>
    <n v="0"/>
    <n v="0"/>
  </r>
  <r>
    <x v="100"/>
    <x v="6"/>
    <n v="25"/>
    <n v="22"/>
    <n v="22"/>
    <n v="0"/>
    <n v="0"/>
  </r>
  <r>
    <x v="100"/>
    <x v="7"/>
    <n v="11"/>
    <n v="10"/>
    <n v="7"/>
    <n v="3"/>
    <n v="0"/>
  </r>
  <r>
    <x v="100"/>
    <x v="7"/>
    <n v="8"/>
    <n v="8"/>
    <n v="6"/>
    <n v="2"/>
    <n v="0"/>
  </r>
  <r>
    <x v="100"/>
    <x v="8"/>
    <n v="39"/>
    <n v="38"/>
    <n v="20"/>
    <n v="18"/>
    <n v="0"/>
  </r>
  <r>
    <x v="100"/>
    <x v="8"/>
    <n v="24"/>
    <n v="23"/>
    <n v="15"/>
    <n v="8"/>
    <n v="0"/>
  </r>
  <r>
    <x v="100"/>
    <x v="9"/>
    <n v="17"/>
    <n v="16"/>
    <n v="15"/>
    <n v="1"/>
    <n v="0"/>
  </r>
  <r>
    <x v="100"/>
    <x v="9"/>
    <n v="24"/>
    <n v="23"/>
    <n v="15"/>
    <n v="8"/>
    <n v="0"/>
  </r>
  <r>
    <x v="100"/>
    <x v="10"/>
    <n v="48"/>
    <n v="48"/>
    <n v="36"/>
    <n v="12"/>
    <n v="0"/>
  </r>
  <r>
    <x v="100"/>
    <x v="10"/>
    <n v="59"/>
    <n v="59"/>
    <n v="35"/>
    <n v="24"/>
    <n v="0"/>
  </r>
  <r>
    <x v="100"/>
    <x v="11"/>
    <n v="21"/>
    <n v="21"/>
    <n v="14"/>
    <n v="7"/>
    <n v="0"/>
  </r>
  <r>
    <x v="100"/>
    <x v="11"/>
    <n v="15"/>
    <n v="15"/>
    <n v="10"/>
    <n v="5"/>
    <n v="0"/>
  </r>
  <r>
    <x v="101"/>
    <x v="0"/>
    <n v="2"/>
    <n v="2"/>
    <n v="1"/>
    <n v="1"/>
    <n v="0"/>
  </r>
  <r>
    <x v="101"/>
    <x v="0"/>
    <n v="2"/>
    <n v="2"/>
    <n v="2"/>
    <n v="0"/>
    <n v="0"/>
  </r>
  <r>
    <x v="101"/>
    <x v="12"/>
    <n v="3"/>
    <n v="0"/>
    <n v="0"/>
    <n v="0"/>
    <n v="0"/>
  </r>
  <r>
    <x v="101"/>
    <x v="2"/>
    <n v="9"/>
    <n v="9"/>
    <n v="6"/>
    <n v="3"/>
    <n v="0"/>
  </r>
  <r>
    <x v="101"/>
    <x v="2"/>
    <n v="4"/>
    <n v="4"/>
    <n v="3"/>
    <n v="1"/>
    <n v="0"/>
  </r>
  <r>
    <x v="101"/>
    <x v="3"/>
    <n v="4"/>
    <n v="4"/>
    <n v="2"/>
    <n v="2"/>
    <n v="0"/>
  </r>
  <r>
    <x v="101"/>
    <x v="3"/>
    <n v="6"/>
    <n v="6"/>
    <n v="6"/>
    <n v="0"/>
    <n v="0"/>
  </r>
  <r>
    <x v="101"/>
    <x v="4"/>
    <n v="14"/>
    <n v="13"/>
    <n v="12"/>
    <n v="1"/>
    <n v="0"/>
  </r>
  <r>
    <x v="101"/>
    <x v="4"/>
    <n v="9"/>
    <n v="9"/>
    <n v="6"/>
    <n v="3"/>
    <n v="0"/>
  </r>
  <r>
    <x v="101"/>
    <x v="5"/>
    <n v="15"/>
    <n v="14"/>
    <n v="12"/>
    <n v="2"/>
    <n v="1"/>
  </r>
  <r>
    <x v="101"/>
    <x v="5"/>
    <n v="14"/>
    <n v="14"/>
    <n v="14"/>
    <n v="0"/>
    <n v="0"/>
  </r>
  <r>
    <x v="101"/>
    <x v="6"/>
    <n v="14"/>
    <n v="14"/>
    <n v="14"/>
    <n v="0"/>
    <n v="0"/>
  </r>
  <r>
    <x v="101"/>
    <x v="6"/>
    <n v="2"/>
    <n v="2"/>
    <n v="2"/>
    <n v="0"/>
    <n v="0"/>
  </r>
  <r>
    <x v="101"/>
    <x v="8"/>
    <n v="5"/>
    <n v="5"/>
    <n v="5"/>
    <n v="0"/>
    <n v="0"/>
  </r>
  <r>
    <x v="101"/>
    <x v="8"/>
    <n v="6"/>
    <n v="6"/>
    <n v="4"/>
    <n v="2"/>
    <n v="0"/>
  </r>
  <r>
    <x v="101"/>
    <x v="9"/>
    <n v="6"/>
    <n v="6"/>
    <n v="6"/>
    <n v="0"/>
    <n v="0"/>
  </r>
  <r>
    <x v="101"/>
    <x v="9"/>
    <n v="9"/>
    <n v="9"/>
    <n v="5"/>
    <n v="4"/>
    <n v="0"/>
  </r>
  <r>
    <x v="101"/>
    <x v="10"/>
    <n v="12"/>
    <n v="12"/>
    <n v="12"/>
    <n v="0"/>
    <n v="0"/>
  </r>
  <r>
    <x v="101"/>
    <x v="10"/>
    <n v="20"/>
    <n v="19"/>
    <n v="15"/>
    <n v="4"/>
    <n v="1"/>
  </r>
  <r>
    <x v="101"/>
    <x v="11"/>
    <n v="6"/>
    <n v="6"/>
    <n v="6"/>
    <n v="0"/>
    <n v="0"/>
  </r>
  <r>
    <x v="101"/>
    <x v="11"/>
    <n v="3"/>
    <n v="3"/>
    <n v="3"/>
    <n v="0"/>
    <n v="0"/>
  </r>
  <r>
    <x v="102"/>
    <x v="0"/>
    <n v="1"/>
    <n v="1"/>
    <n v="0"/>
    <n v="1"/>
    <n v="0"/>
  </r>
  <r>
    <x v="102"/>
    <x v="0"/>
    <n v="1"/>
    <n v="1"/>
    <n v="1"/>
    <n v="0"/>
    <n v="0"/>
  </r>
  <r>
    <x v="102"/>
    <x v="2"/>
    <n v="35"/>
    <n v="35"/>
    <n v="30"/>
    <n v="5"/>
    <n v="0"/>
  </r>
  <r>
    <x v="102"/>
    <x v="2"/>
    <n v="30"/>
    <n v="30"/>
    <n v="30"/>
    <n v="0"/>
    <n v="0"/>
  </r>
  <r>
    <x v="102"/>
    <x v="3"/>
    <n v="36"/>
    <n v="36"/>
    <n v="28"/>
    <n v="8"/>
    <n v="0"/>
  </r>
  <r>
    <x v="102"/>
    <x v="3"/>
    <n v="23"/>
    <n v="23"/>
    <n v="19"/>
    <n v="4"/>
    <n v="0"/>
  </r>
  <r>
    <x v="102"/>
    <x v="4"/>
    <n v="79"/>
    <n v="73"/>
    <n v="59"/>
    <n v="14"/>
    <n v="0"/>
  </r>
  <r>
    <x v="102"/>
    <x v="4"/>
    <n v="37"/>
    <n v="34"/>
    <n v="26"/>
    <n v="8"/>
    <n v="0"/>
  </r>
  <r>
    <x v="102"/>
    <x v="13"/>
    <n v="1"/>
    <n v="1"/>
    <n v="1"/>
    <n v="0"/>
    <n v="0"/>
  </r>
  <r>
    <x v="102"/>
    <x v="5"/>
    <n v="55"/>
    <n v="55"/>
    <n v="49"/>
    <n v="6"/>
    <n v="0"/>
  </r>
  <r>
    <x v="102"/>
    <x v="5"/>
    <n v="29"/>
    <n v="29"/>
    <n v="21"/>
    <n v="8"/>
    <n v="0"/>
  </r>
  <r>
    <x v="102"/>
    <x v="6"/>
    <n v="14"/>
    <n v="14"/>
    <n v="14"/>
    <n v="0"/>
    <n v="0"/>
  </r>
  <r>
    <x v="102"/>
    <x v="6"/>
    <n v="4"/>
    <n v="4"/>
    <n v="4"/>
    <n v="0"/>
    <n v="0"/>
  </r>
  <r>
    <x v="102"/>
    <x v="8"/>
    <n v="5"/>
    <n v="2"/>
    <n v="2"/>
    <n v="0"/>
    <n v="0"/>
  </r>
  <r>
    <x v="102"/>
    <x v="8"/>
    <n v="7"/>
    <n v="4"/>
    <n v="2"/>
    <n v="2"/>
    <n v="0"/>
  </r>
  <r>
    <x v="102"/>
    <x v="9"/>
    <n v="6"/>
    <n v="4"/>
    <n v="4"/>
    <n v="0"/>
    <n v="0"/>
  </r>
  <r>
    <x v="102"/>
    <x v="9"/>
    <n v="2"/>
    <n v="1"/>
    <n v="1"/>
    <n v="0"/>
    <n v="0"/>
  </r>
  <r>
    <x v="102"/>
    <x v="10"/>
    <n v="43"/>
    <n v="43"/>
    <n v="39"/>
    <n v="4"/>
    <n v="0"/>
  </r>
  <r>
    <x v="102"/>
    <x v="10"/>
    <n v="18"/>
    <n v="18"/>
    <n v="17"/>
    <n v="1"/>
    <n v="0"/>
  </r>
  <r>
    <x v="102"/>
    <x v="11"/>
    <n v="18"/>
    <n v="18"/>
    <n v="18"/>
    <n v="0"/>
    <n v="0"/>
  </r>
  <r>
    <x v="102"/>
    <x v="11"/>
    <n v="20"/>
    <n v="19"/>
    <n v="19"/>
    <n v="0"/>
    <n v="0"/>
  </r>
  <r>
    <x v="103"/>
    <x v="2"/>
    <n v="9"/>
    <n v="9"/>
    <n v="6"/>
    <n v="3"/>
    <n v="0"/>
  </r>
  <r>
    <x v="103"/>
    <x v="2"/>
    <n v="12"/>
    <n v="10"/>
    <n v="5"/>
    <n v="5"/>
    <n v="0"/>
  </r>
  <r>
    <x v="103"/>
    <x v="3"/>
    <n v="56"/>
    <n v="51"/>
    <n v="45"/>
    <n v="6"/>
    <n v="0"/>
  </r>
  <r>
    <x v="103"/>
    <x v="3"/>
    <n v="36"/>
    <n v="36"/>
    <n v="26"/>
    <n v="10"/>
    <n v="0"/>
  </r>
  <r>
    <x v="103"/>
    <x v="4"/>
    <n v="67"/>
    <n v="63"/>
    <n v="60"/>
    <n v="3"/>
    <n v="0"/>
  </r>
  <r>
    <x v="103"/>
    <x v="4"/>
    <n v="52"/>
    <n v="48"/>
    <n v="44"/>
    <n v="4"/>
    <n v="0"/>
  </r>
  <r>
    <x v="103"/>
    <x v="5"/>
    <n v="21"/>
    <n v="21"/>
    <n v="18"/>
    <n v="3"/>
    <n v="0"/>
  </r>
  <r>
    <x v="103"/>
    <x v="5"/>
    <n v="17"/>
    <n v="17"/>
    <n v="13"/>
    <n v="4"/>
    <n v="0"/>
  </r>
  <r>
    <x v="103"/>
    <x v="6"/>
    <n v="13"/>
    <n v="13"/>
    <n v="13"/>
    <n v="0"/>
    <n v="0"/>
  </r>
  <r>
    <x v="103"/>
    <x v="6"/>
    <n v="1"/>
    <n v="1"/>
    <n v="1"/>
    <n v="0"/>
    <n v="0"/>
  </r>
  <r>
    <x v="103"/>
    <x v="7"/>
    <n v="3"/>
    <n v="0"/>
    <n v="0"/>
    <n v="0"/>
    <n v="0"/>
  </r>
  <r>
    <x v="103"/>
    <x v="8"/>
    <n v="19"/>
    <n v="19"/>
    <n v="11"/>
    <n v="8"/>
    <n v="0"/>
  </r>
  <r>
    <x v="103"/>
    <x v="8"/>
    <n v="12"/>
    <n v="12"/>
    <n v="6"/>
    <n v="6"/>
    <n v="0"/>
  </r>
  <r>
    <x v="103"/>
    <x v="9"/>
    <n v="3"/>
    <n v="3"/>
    <n v="3"/>
    <n v="0"/>
    <n v="0"/>
  </r>
  <r>
    <x v="103"/>
    <x v="10"/>
    <n v="50"/>
    <n v="50"/>
    <n v="39"/>
    <n v="11"/>
    <n v="0"/>
  </r>
  <r>
    <x v="103"/>
    <x v="10"/>
    <n v="47"/>
    <n v="47"/>
    <n v="30"/>
    <n v="17"/>
    <n v="0"/>
  </r>
  <r>
    <x v="103"/>
    <x v="11"/>
    <n v="6"/>
    <n v="3"/>
    <n v="3"/>
    <n v="0"/>
    <n v="0"/>
  </r>
  <r>
    <x v="104"/>
    <x v="0"/>
    <n v="3"/>
    <n v="3"/>
    <n v="1"/>
    <n v="2"/>
    <n v="0"/>
  </r>
  <r>
    <x v="104"/>
    <x v="0"/>
    <n v="2"/>
    <n v="2"/>
    <n v="2"/>
    <n v="0"/>
    <n v="0"/>
  </r>
  <r>
    <x v="104"/>
    <x v="12"/>
    <n v="1"/>
    <n v="0"/>
    <n v="0"/>
    <n v="0"/>
    <n v="0"/>
  </r>
  <r>
    <x v="104"/>
    <x v="2"/>
    <n v="16"/>
    <n v="15"/>
    <n v="15"/>
    <n v="0"/>
    <n v="0"/>
  </r>
  <r>
    <x v="104"/>
    <x v="2"/>
    <n v="18"/>
    <n v="17"/>
    <n v="16"/>
    <n v="1"/>
    <n v="0"/>
  </r>
  <r>
    <x v="104"/>
    <x v="3"/>
    <n v="15"/>
    <n v="15"/>
    <n v="10"/>
    <n v="5"/>
    <n v="0"/>
  </r>
  <r>
    <x v="104"/>
    <x v="3"/>
    <n v="15"/>
    <n v="13"/>
    <n v="13"/>
    <n v="0"/>
    <n v="1"/>
  </r>
  <r>
    <x v="104"/>
    <x v="4"/>
    <n v="28"/>
    <n v="26"/>
    <n v="22"/>
    <n v="4"/>
    <n v="0"/>
  </r>
  <r>
    <x v="104"/>
    <x v="4"/>
    <n v="14"/>
    <n v="13"/>
    <n v="12"/>
    <n v="1"/>
    <n v="0"/>
  </r>
  <r>
    <x v="104"/>
    <x v="5"/>
    <n v="36"/>
    <n v="35"/>
    <n v="24"/>
    <n v="11"/>
    <n v="0"/>
  </r>
  <r>
    <x v="104"/>
    <x v="5"/>
    <n v="21"/>
    <n v="21"/>
    <n v="16"/>
    <n v="5"/>
    <n v="0"/>
  </r>
  <r>
    <x v="104"/>
    <x v="6"/>
    <n v="10"/>
    <n v="10"/>
    <n v="9"/>
    <n v="1"/>
    <n v="0"/>
  </r>
  <r>
    <x v="104"/>
    <x v="6"/>
    <n v="7"/>
    <n v="7"/>
    <n v="7"/>
    <n v="0"/>
    <n v="0"/>
  </r>
  <r>
    <x v="104"/>
    <x v="8"/>
    <n v="3"/>
    <n v="3"/>
    <n v="3"/>
    <n v="0"/>
    <n v="0"/>
  </r>
  <r>
    <x v="104"/>
    <x v="8"/>
    <n v="11"/>
    <n v="11"/>
    <n v="7"/>
    <n v="4"/>
    <n v="0"/>
  </r>
  <r>
    <x v="104"/>
    <x v="9"/>
    <n v="2"/>
    <n v="2"/>
    <n v="2"/>
    <n v="0"/>
    <n v="0"/>
  </r>
  <r>
    <x v="104"/>
    <x v="9"/>
    <n v="7"/>
    <n v="7"/>
    <n v="7"/>
    <n v="0"/>
    <n v="0"/>
  </r>
  <r>
    <x v="104"/>
    <x v="10"/>
    <n v="20"/>
    <n v="20"/>
    <n v="19"/>
    <n v="1"/>
    <n v="0"/>
  </r>
  <r>
    <x v="104"/>
    <x v="10"/>
    <n v="26"/>
    <n v="26"/>
    <n v="20"/>
    <n v="6"/>
    <n v="0"/>
  </r>
  <r>
    <x v="104"/>
    <x v="11"/>
    <n v="22"/>
    <n v="22"/>
    <n v="11"/>
    <n v="11"/>
    <n v="0"/>
  </r>
  <r>
    <x v="104"/>
    <x v="11"/>
    <n v="16"/>
    <n v="16"/>
    <n v="10"/>
    <n v="6"/>
    <n v="0"/>
  </r>
  <r>
    <x v="105"/>
    <x v="0"/>
    <n v="2"/>
    <n v="2"/>
    <n v="1"/>
    <n v="1"/>
    <n v="0"/>
  </r>
  <r>
    <x v="105"/>
    <x v="0"/>
    <n v="3"/>
    <n v="3"/>
    <n v="3"/>
    <n v="0"/>
    <n v="0"/>
  </r>
  <r>
    <x v="105"/>
    <x v="12"/>
    <n v="3"/>
    <n v="0"/>
    <n v="0"/>
    <n v="0"/>
    <n v="0"/>
  </r>
  <r>
    <x v="105"/>
    <x v="2"/>
    <n v="13"/>
    <n v="13"/>
    <n v="11"/>
    <n v="2"/>
    <n v="0"/>
  </r>
  <r>
    <x v="105"/>
    <x v="2"/>
    <n v="15"/>
    <n v="15"/>
    <n v="11"/>
    <n v="4"/>
    <n v="0"/>
  </r>
  <r>
    <x v="105"/>
    <x v="3"/>
    <n v="40"/>
    <n v="40"/>
    <n v="36"/>
    <n v="4"/>
    <n v="0"/>
  </r>
  <r>
    <x v="105"/>
    <x v="3"/>
    <n v="29"/>
    <n v="28"/>
    <n v="27"/>
    <n v="1"/>
    <n v="0"/>
  </r>
  <r>
    <x v="105"/>
    <x v="4"/>
    <n v="49"/>
    <n v="49"/>
    <n v="42"/>
    <n v="7"/>
    <n v="0"/>
  </r>
  <r>
    <x v="105"/>
    <x v="4"/>
    <n v="37"/>
    <n v="35"/>
    <n v="31"/>
    <n v="4"/>
    <n v="0"/>
  </r>
  <r>
    <x v="105"/>
    <x v="5"/>
    <n v="28"/>
    <n v="28"/>
    <n v="17"/>
    <n v="11"/>
    <n v="0"/>
  </r>
  <r>
    <x v="105"/>
    <x v="5"/>
    <n v="26"/>
    <n v="25"/>
    <n v="21"/>
    <n v="4"/>
    <n v="0"/>
  </r>
  <r>
    <x v="105"/>
    <x v="6"/>
    <n v="32"/>
    <n v="31"/>
    <n v="31"/>
    <n v="0"/>
    <n v="0"/>
  </r>
  <r>
    <x v="105"/>
    <x v="6"/>
    <n v="14"/>
    <n v="14"/>
    <n v="14"/>
    <n v="0"/>
    <n v="0"/>
  </r>
  <r>
    <x v="105"/>
    <x v="7"/>
    <n v="4"/>
    <n v="3"/>
    <n v="3"/>
    <n v="0"/>
    <n v="0"/>
  </r>
  <r>
    <x v="105"/>
    <x v="7"/>
    <n v="8"/>
    <n v="8"/>
    <n v="8"/>
    <n v="0"/>
    <n v="0"/>
  </r>
  <r>
    <x v="105"/>
    <x v="8"/>
    <n v="17"/>
    <n v="16"/>
    <n v="13"/>
    <n v="3"/>
    <n v="0"/>
  </r>
  <r>
    <x v="105"/>
    <x v="8"/>
    <n v="26"/>
    <n v="26"/>
    <n v="23"/>
    <n v="3"/>
    <n v="0"/>
  </r>
  <r>
    <x v="105"/>
    <x v="9"/>
    <n v="16"/>
    <n v="16"/>
    <n v="16"/>
    <n v="0"/>
    <n v="0"/>
  </r>
  <r>
    <x v="105"/>
    <x v="9"/>
    <n v="22"/>
    <n v="22"/>
    <n v="21"/>
    <n v="1"/>
    <n v="0"/>
  </r>
  <r>
    <x v="105"/>
    <x v="10"/>
    <n v="46"/>
    <n v="46"/>
    <n v="40"/>
    <n v="6"/>
    <n v="0"/>
  </r>
  <r>
    <x v="105"/>
    <x v="10"/>
    <n v="35"/>
    <n v="34"/>
    <n v="30"/>
    <n v="4"/>
    <n v="0"/>
  </r>
  <r>
    <x v="105"/>
    <x v="11"/>
    <n v="11"/>
    <n v="10"/>
    <n v="9"/>
    <n v="1"/>
    <n v="0"/>
  </r>
  <r>
    <x v="105"/>
    <x v="11"/>
    <n v="10"/>
    <n v="10"/>
    <n v="9"/>
    <n v="1"/>
    <n v="0"/>
  </r>
  <r>
    <x v="106"/>
    <x v="0"/>
    <n v="5"/>
    <n v="5"/>
    <n v="3"/>
    <n v="2"/>
    <n v="0"/>
  </r>
  <r>
    <x v="106"/>
    <x v="0"/>
    <n v="3"/>
    <n v="2"/>
    <n v="2"/>
    <n v="0"/>
    <n v="0"/>
  </r>
  <r>
    <x v="106"/>
    <x v="12"/>
    <n v="1"/>
    <n v="0"/>
    <n v="0"/>
    <n v="0"/>
    <n v="0"/>
  </r>
  <r>
    <x v="106"/>
    <x v="2"/>
    <n v="37"/>
    <n v="37"/>
    <n v="34"/>
    <n v="3"/>
    <n v="0"/>
  </r>
  <r>
    <x v="106"/>
    <x v="2"/>
    <n v="18"/>
    <n v="18"/>
    <n v="18"/>
    <n v="0"/>
    <n v="0"/>
  </r>
  <r>
    <x v="106"/>
    <x v="3"/>
    <n v="45"/>
    <n v="43"/>
    <n v="37"/>
    <n v="6"/>
    <n v="0"/>
  </r>
  <r>
    <x v="106"/>
    <x v="3"/>
    <n v="14"/>
    <n v="14"/>
    <n v="14"/>
    <n v="0"/>
    <n v="0"/>
  </r>
  <r>
    <x v="106"/>
    <x v="4"/>
    <n v="71"/>
    <n v="68"/>
    <n v="41"/>
    <n v="27"/>
    <n v="0"/>
  </r>
  <r>
    <x v="106"/>
    <x v="4"/>
    <n v="51"/>
    <n v="49"/>
    <n v="42"/>
    <n v="7"/>
    <n v="0"/>
  </r>
  <r>
    <x v="106"/>
    <x v="5"/>
    <n v="55"/>
    <n v="55"/>
    <n v="50"/>
    <n v="5"/>
    <n v="0"/>
  </r>
  <r>
    <x v="106"/>
    <x v="5"/>
    <n v="31"/>
    <n v="29"/>
    <n v="27"/>
    <n v="2"/>
    <n v="1"/>
  </r>
  <r>
    <x v="106"/>
    <x v="6"/>
    <n v="104"/>
    <n v="104"/>
    <n v="104"/>
    <n v="0"/>
    <n v="0"/>
  </r>
  <r>
    <x v="106"/>
    <x v="6"/>
    <n v="26"/>
    <n v="26"/>
    <n v="26"/>
    <n v="0"/>
    <n v="0"/>
  </r>
  <r>
    <x v="106"/>
    <x v="8"/>
    <n v="10"/>
    <n v="10"/>
    <n v="7"/>
    <n v="3"/>
    <n v="0"/>
  </r>
  <r>
    <x v="106"/>
    <x v="9"/>
    <n v="4"/>
    <n v="4"/>
    <n v="1"/>
    <n v="3"/>
    <n v="0"/>
  </r>
  <r>
    <x v="106"/>
    <x v="10"/>
    <n v="57"/>
    <n v="57"/>
    <n v="54"/>
    <n v="3"/>
    <n v="0"/>
  </r>
  <r>
    <x v="106"/>
    <x v="10"/>
    <n v="25"/>
    <n v="23"/>
    <n v="20"/>
    <n v="3"/>
    <n v="0"/>
  </r>
  <r>
    <x v="106"/>
    <x v="11"/>
    <n v="30"/>
    <n v="30"/>
    <n v="29"/>
    <n v="1"/>
    <n v="0"/>
  </r>
  <r>
    <x v="106"/>
    <x v="11"/>
    <n v="6"/>
    <n v="6"/>
    <n v="6"/>
    <n v="0"/>
    <n v="0"/>
  </r>
  <r>
    <x v="107"/>
    <x v="0"/>
    <n v="1"/>
    <n v="1"/>
    <n v="1"/>
    <n v="0"/>
    <n v="0"/>
  </r>
  <r>
    <x v="107"/>
    <x v="16"/>
    <n v="1"/>
    <n v="0"/>
    <n v="0"/>
    <n v="0"/>
    <n v="0"/>
  </r>
  <r>
    <x v="107"/>
    <x v="2"/>
    <n v="3"/>
    <n v="3"/>
    <n v="1"/>
    <n v="2"/>
    <n v="0"/>
  </r>
  <r>
    <x v="107"/>
    <x v="2"/>
    <n v="3"/>
    <n v="3"/>
    <n v="3"/>
    <n v="0"/>
    <n v="0"/>
  </r>
  <r>
    <x v="107"/>
    <x v="3"/>
    <n v="10"/>
    <n v="10"/>
    <n v="9"/>
    <n v="1"/>
    <n v="0"/>
  </r>
  <r>
    <x v="107"/>
    <x v="3"/>
    <n v="5"/>
    <n v="5"/>
    <n v="5"/>
    <n v="0"/>
    <n v="0"/>
  </r>
  <r>
    <x v="107"/>
    <x v="4"/>
    <n v="14"/>
    <n v="14"/>
    <n v="14"/>
    <n v="0"/>
    <n v="0"/>
  </r>
  <r>
    <x v="107"/>
    <x v="4"/>
    <n v="4"/>
    <n v="3"/>
    <n v="3"/>
    <n v="0"/>
    <n v="1"/>
  </r>
  <r>
    <x v="107"/>
    <x v="5"/>
    <n v="13"/>
    <n v="13"/>
    <n v="13"/>
    <n v="0"/>
    <n v="0"/>
  </r>
  <r>
    <x v="107"/>
    <x v="5"/>
    <n v="11"/>
    <n v="11"/>
    <n v="10"/>
    <n v="1"/>
    <n v="0"/>
  </r>
  <r>
    <x v="107"/>
    <x v="6"/>
    <n v="1"/>
    <n v="1"/>
    <n v="1"/>
    <n v="0"/>
    <n v="0"/>
  </r>
  <r>
    <x v="107"/>
    <x v="6"/>
    <n v="4"/>
    <n v="4"/>
    <n v="4"/>
    <n v="0"/>
    <n v="0"/>
  </r>
  <r>
    <x v="107"/>
    <x v="8"/>
    <n v="1"/>
    <n v="1"/>
    <n v="1"/>
    <n v="0"/>
    <n v="0"/>
  </r>
  <r>
    <x v="107"/>
    <x v="9"/>
    <n v="2"/>
    <n v="1"/>
    <n v="1"/>
    <n v="0"/>
    <n v="1"/>
  </r>
  <r>
    <x v="107"/>
    <x v="10"/>
    <n v="16"/>
    <n v="16"/>
    <n v="13"/>
    <n v="3"/>
    <n v="0"/>
  </r>
  <r>
    <x v="107"/>
    <x v="10"/>
    <n v="16"/>
    <n v="16"/>
    <n v="15"/>
    <n v="1"/>
    <n v="0"/>
  </r>
  <r>
    <x v="107"/>
    <x v="11"/>
    <n v="2"/>
    <n v="2"/>
    <n v="2"/>
    <n v="0"/>
    <n v="0"/>
  </r>
  <r>
    <x v="108"/>
    <x v="0"/>
    <n v="2"/>
    <n v="1"/>
    <n v="1"/>
    <n v="0"/>
    <n v="0"/>
  </r>
  <r>
    <x v="108"/>
    <x v="2"/>
    <n v="14"/>
    <n v="14"/>
    <n v="10"/>
    <n v="4"/>
    <n v="0"/>
  </r>
  <r>
    <x v="108"/>
    <x v="2"/>
    <n v="13"/>
    <n v="13"/>
    <n v="12"/>
    <n v="1"/>
    <n v="0"/>
  </r>
  <r>
    <x v="108"/>
    <x v="3"/>
    <n v="14"/>
    <n v="14"/>
    <n v="11"/>
    <n v="3"/>
    <n v="0"/>
  </r>
  <r>
    <x v="108"/>
    <x v="3"/>
    <n v="4"/>
    <n v="4"/>
    <n v="3"/>
    <n v="1"/>
    <n v="0"/>
  </r>
  <r>
    <x v="108"/>
    <x v="4"/>
    <n v="26"/>
    <n v="25"/>
    <n v="16"/>
    <n v="9"/>
    <n v="0"/>
  </r>
  <r>
    <x v="108"/>
    <x v="4"/>
    <n v="7"/>
    <n v="5"/>
    <n v="3"/>
    <n v="2"/>
    <n v="0"/>
  </r>
  <r>
    <x v="108"/>
    <x v="5"/>
    <n v="43"/>
    <n v="43"/>
    <n v="33"/>
    <n v="10"/>
    <n v="0"/>
  </r>
  <r>
    <x v="108"/>
    <x v="5"/>
    <n v="26"/>
    <n v="26"/>
    <n v="20"/>
    <n v="6"/>
    <n v="0"/>
  </r>
  <r>
    <x v="108"/>
    <x v="6"/>
    <n v="11"/>
    <n v="11"/>
    <n v="11"/>
    <n v="0"/>
    <n v="0"/>
  </r>
  <r>
    <x v="108"/>
    <x v="6"/>
    <n v="1"/>
    <n v="1"/>
    <n v="1"/>
    <n v="0"/>
    <n v="0"/>
  </r>
  <r>
    <x v="108"/>
    <x v="7"/>
    <n v="5"/>
    <n v="4"/>
    <n v="3"/>
    <n v="1"/>
    <n v="0"/>
  </r>
  <r>
    <x v="108"/>
    <x v="8"/>
    <n v="7"/>
    <n v="7"/>
    <n v="7"/>
    <n v="0"/>
    <n v="0"/>
  </r>
  <r>
    <x v="108"/>
    <x v="8"/>
    <n v="2"/>
    <n v="2"/>
    <n v="2"/>
    <n v="0"/>
    <n v="0"/>
  </r>
  <r>
    <x v="108"/>
    <x v="9"/>
    <n v="3"/>
    <n v="3"/>
    <n v="3"/>
    <n v="0"/>
    <n v="0"/>
  </r>
  <r>
    <x v="108"/>
    <x v="9"/>
    <n v="1"/>
    <n v="1"/>
    <n v="0"/>
    <n v="1"/>
    <n v="0"/>
  </r>
  <r>
    <x v="108"/>
    <x v="10"/>
    <n v="14"/>
    <n v="14"/>
    <n v="13"/>
    <n v="1"/>
    <n v="0"/>
  </r>
  <r>
    <x v="108"/>
    <x v="10"/>
    <n v="17"/>
    <n v="17"/>
    <n v="13"/>
    <n v="4"/>
    <n v="0"/>
  </r>
  <r>
    <x v="108"/>
    <x v="11"/>
    <n v="15"/>
    <n v="15"/>
    <n v="13"/>
    <n v="2"/>
    <n v="0"/>
  </r>
  <r>
    <x v="108"/>
    <x v="11"/>
    <n v="9"/>
    <n v="9"/>
    <n v="9"/>
    <n v="0"/>
    <n v="0"/>
  </r>
  <r>
    <x v="109"/>
    <x v="0"/>
    <n v="9"/>
    <n v="8"/>
    <n v="7"/>
    <n v="1"/>
    <n v="0"/>
  </r>
  <r>
    <x v="109"/>
    <x v="0"/>
    <n v="1"/>
    <n v="1"/>
    <n v="1"/>
    <n v="0"/>
    <n v="0"/>
  </r>
  <r>
    <x v="109"/>
    <x v="12"/>
    <n v="7"/>
    <n v="0"/>
    <n v="0"/>
    <n v="0"/>
    <n v="0"/>
  </r>
  <r>
    <x v="109"/>
    <x v="12"/>
    <n v="5"/>
    <n v="0"/>
    <n v="0"/>
    <n v="0"/>
    <n v="0"/>
  </r>
  <r>
    <x v="109"/>
    <x v="2"/>
    <n v="29"/>
    <n v="29"/>
    <n v="29"/>
    <n v="0"/>
    <n v="0"/>
  </r>
  <r>
    <x v="109"/>
    <x v="2"/>
    <n v="36"/>
    <n v="36"/>
    <n v="31"/>
    <n v="5"/>
    <n v="0"/>
  </r>
  <r>
    <x v="109"/>
    <x v="3"/>
    <n v="98"/>
    <n v="97"/>
    <n v="81"/>
    <n v="16"/>
    <n v="0"/>
  </r>
  <r>
    <x v="109"/>
    <x v="3"/>
    <n v="65"/>
    <n v="63"/>
    <n v="59"/>
    <n v="4"/>
    <n v="0"/>
  </r>
  <r>
    <x v="109"/>
    <x v="4"/>
    <n v="114"/>
    <n v="114"/>
    <n v="84"/>
    <n v="30"/>
    <n v="0"/>
  </r>
  <r>
    <x v="109"/>
    <x v="4"/>
    <n v="73"/>
    <n v="69"/>
    <n v="51"/>
    <n v="18"/>
    <n v="0"/>
  </r>
  <r>
    <x v="109"/>
    <x v="13"/>
    <n v="2"/>
    <n v="2"/>
    <n v="2"/>
    <n v="0"/>
    <n v="0"/>
  </r>
  <r>
    <x v="109"/>
    <x v="5"/>
    <n v="97"/>
    <n v="97"/>
    <n v="73"/>
    <n v="24"/>
    <n v="0"/>
  </r>
  <r>
    <x v="109"/>
    <x v="5"/>
    <n v="88"/>
    <n v="88"/>
    <n v="80"/>
    <n v="8"/>
    <n v="0"/>
  </r>
  <r>
    <x v="109"/>
    <x v="6"/>
    <n v="21"/>
    <n v="21"/>
    <n v="19"/>
    <n v="2"/>
    <n v="0"/>
  </r>
  <r>
    <x v="109"/>
    <x v="6"/>
    <n v="7"/>
    <n v="3"/>
    <n v="3"/>
    <n v="0"/>
    <n v="0"/>
  </r>
  <r>
    <x v="109"/>
    <x v="7"/>
    <n v="17"/>
    <n v="14"/>
    <n v="12"/>
    <n v="2"/>
    <n v="0"/>
  </r>
  <r>
    <x v="109"/>
    <x v="7"/>
    <n v="8"/>
    <n v="7"/>
    <n v="7"/>
    <n v="0"/>
    <n v="0"/>
  </r>
  <r>
    <x v="109"/>
    <x v="8"/>
    <n v="30"/>
    <n v="29"/>
    <n v="28"/>
    <n v="1"/>
    <n v="0"/>
  </r>
  <r>
    <x v="109"/>
    <x v="8"/>
    <n v="35"/>
    <n v="35"/>
    <n v="34"/>
    <n v="1"/>
    <n v="0"/>
  </r>
  <r>
    <x v="109"/>
    <x v="9"/>
    <n v="22"/>
    <n v="22"/>
    <n v="20"/>
    <n v="2"/>
    <n v="0"/>
  </r>
  <r>
    <x v="109"/>
    <x v="9"/>
    <n v="1"/>
    <n v="0"/>
    <n v="0"/>
    <n v="0"/>
    <n v="0"/>
  </r>
  <r>
    <x v="109"/>
    <x v="10"/>
    <n v="90"/>
    <n v="90"/>
    <n v="87"/>
    <n v="3"/>
    <n v="0"/>
  </r>
  <r>
    <x v="109"/>
    <x v="10"/>
    <n v="87"/>
    <n v="87"/>
    <n v="82"/>
    <n v="5"/>
    <n v="0"/>
  </r>
  <r>
    <x v="109"/>
    <x v="11"/>
    <n v="38"/>
    <n v="38"/>
    <n v="28"/>
    <n v="10"/>
    <n v="0"/>
  </r>
  <r>
    <x v="109"/>
    <x v="11"/>
    <n v="22"/>
    <n v="22"/>
    <n v="20"/>
    <n v="2"/>
    <n v="0"/>
  </r>
  <r>
    <x v="110"/>
    <x v="2"/>
    <n v="6"/>
    <n v="6"/>
    <n v="6"/>
    <n v="0"/>
    <n v="0"/>
  </r>
  <r>
    <x v="110"/>
    <x v="2"/>
    <n v="4"/>
    <n v="4"/>
    <n v="4"/>
    <n v="0"/>
    <n v="0"/>
  </r>
  <r>
    <x v="110"/>
    <x v="3"/>
    <n v="14"/>
    <n v="14"/>
    <n v="13"/>
    <n v="1"/>
    <n v="0"/>
  </r>
  <r>
    <x v="110"/>
    <x v="3"/>
    <n v="7"/>
    <n v="7"/>
    <n v="7"/>
    <n v="0"/>
    <n v="0"/>
  </r>
  <r>
    <x v="110"/>
    <x v="4"/>
    <n v="16"/>
    <n v="16"/>
    <n v="14"/>
    <n v="2"/>
    <n v="0"/>
  </r>
  <r>
    <x v="110"/>
    <x v="4"/>
    <n v="13"/>
    <n v="13"/>
    <n v="11"/>
    <n v="2"/>
    <n v="0"/>
  </r>
  <r>
    <x v="110"/>
    <x v="5"/>
    <n v="34"/>
    <n v="34"/>
    <n v="31"/>
    <n v="3"/>
    <n v="0"/>
  </r>
  <r>
    <x v="110"/>
    <x v="5"/>
    <n v="14"/>
    <n v="14"/>
    <n v="14"/>
    <n v="0"/>
    <n v="0"/>
  </r>
  <r>
    <x v="110"/>
    <x v="6"/>
    <n v="2"/>
    <n v="2"/>
    <n v="2"/>
    <n v="0"/>
    <n v="0"/>
  </r>
  <r>
    <x v="110"/>
    <x v="8"/>
    <n v="8"/>
    <n v="5"/>
    <n v="5"/>
    <n v="0"/>
    <n v="0"/>
  </r>
  <r>
    <x v="110"/>
    <x v="8"/>
    <n v="1"/>
    <n v="0"/>
    <n v="0"/>
    <n v="0"/>
    <n v="0"/>
  </r>
  <r>
    <x v="110"/>
    <x v="9"/>
    <n v="1"/>
    <n v="0"/>
    <n v="0"/>
    <n v="0"/>
    <n v="0"/>
  </r>
  <r>
    <x v="110"/>
    <x v="10"/>
    <n v="12"/>
    <n v="12"/>
    <n v="12"/>
    <n v="0"/>
    <n v="0"/>
  </r>
  <r>
    <x v="110"/>
    <x v="10"/>
    <n v="4"/>
    <n v="4"/>
    <n v="4"/>
    <n v="0"/>
    <n v="0"/>
  </r>
  <r>
    <x v="110"/>
    <x v="11"/>
    <n v="4"/>
    <n v="4"/>
    <n v="4"/>
    <n v="0"/>
    <n v="0"/>
  </r>
  <r>
    <x v="110"/>
    <x v="11"/>
    <n v="3"/>
    <n v="3"/>
    <n v="3"/>
    <n v="0"/>
    <n v="0"/>
  </r>
  <r>
    <x v="111"/>
    <x v="0"/>
    <n v="11"/>
    <n v="11"/>
    <n v="10"/>
    <n v="1"/>
    <n v="0"/>
  </r>
  <r>
    <x v="111"/>
    <x v="0"/>
    <n v="6"/>
    <n v="6"/>
    <n v="6"/>
    <n v="0"/>
    <n v="0"/>
  </r>
  <r>
    <x v="111"/>
    <x v="2"/>
    <n v="37"/>
    <n v="37"/>
    <n v="34"/>
    <n v="3"/>
    <n v="0"/>
  </r>
  <r>
    <x v="111"/>
    <x v="2"/>
    <n v="25"/>
    <n v="24"/>
    <n v="22"/>
    <n v="2"/>
    <n v="0"/>
  </r>
  <r>
    <x v="111"/>
    <x v="3"/>
    <n v="113"/>
    <n v="113"/>
    <n v="93"/>
    <n v="20"/>
    <n v="0"/>
  </r>
  <r>
    <x v="111"/>
    <x v="3"/>
    <n v="44"/>
    <n v="44"/>
    <n v="36"/>
    <n v="8"/>
    <n v="0"/>
  </r>
  <r>
    <x v="111"/>
    <x v="4"/>
    <n v="114"/>
    <n v="109"/>
    <n v="102"/>
    <n v="7"/>
    <n v="0"/>
  </r>
  <r>
    <x v="111"/>
    <x v="4"/>
    <n v="72"/>
    <n v="66"/>
    <n v="66"/>
    <n v="0"/>
    <n v="1"/>
  </r>
  <r>
    <x v="111"/>
    <x v="5"/>
    <n v="287"/>
    <n v="284"/>
    <n v="241"/>
    <n v="43"/>
    <n v="1"/>
  </r>
  <r>
    <x v="111"/>
    <x v="5"/>
    <n v="120"/>
    <n v="119"/>
    <n v="105"/>
    <n v="14"/>
    <n v="0"/>
  </r>
  <r>
    <x v="111"/>
    <x v="6"/>
    <n v="88"/>
    <n v="87"/>
    <n v="87"/>
    <n v="0"/>
    <n v="0"/>
  </r>
  <r>
    <x v="111"/>
    <x v="6"/>
    <n v="50"/>
    <n v="50"/>
    <n v="50"/>
    <n v="0"/>
    <n v="0"/>
  </r>
  <r>
    <x v="111"/>
    <x v="7"/>
    <n v="20"/>
    <n v="18"/>
    <n v="16"/>
    <n v="2"/>
    <n v="0"/>
  </r>
  <r>
    <x v="111"/>
    <x v="7"/>
    <n v="2"/>
    <n v="2"/>
    <n v="2"/>
    <n v="0"/>
    <n v="0"/>
  </r>
  <r>
    <x v="111"/>
    <x v="8"/>
    <n v="63"/>
    <n v="62"/>
    <n v="47"/>
    <n v="15"/>
    <n v="0"/>
  </r>
  <r>
    <x v="111"/>
    <x v="8"/>
    <n v="32"/>
    <n v="32"/>
    <n v="25"/>
    <n v="7"/>
    <n v="0"/>
  </r>
  <r>
    <x v="111"/>
    <x v="9"/>
    <n v="30"/>
    <n v="30"/>
    <n v="27"/>
    <n v="3"/>
    <n v="0"/>
  </r>
  <r>
    <x v="111"/>
    <x v="9"/>
    <n v="13"/>
    <n v="13"/>
    <n v="12"/>
    <n v="1"/>
    <n v="0"/>
  </r>
  <r>
    <x v="111"/>
    <x v="10"/>
    <n v="104"/>
    <n v="104"/>
    <n v="98"/>
    <n v="6"/>
    <n v="0"/>
  </r>
  <r>
    <x v="111"/>
    <x v="10"/>
    <n v="89"/>
    <n v="88"/>
    <n v="69"/>
    <n v="19"/>
    <n v="0"/>
  </r>
  <r>
    <x v="111"/>
    <x v="11"/>
    <n v="49"/>
    <n v="49"/>
    <n v="41"/>
    <n v="8"/>
    <n v="0"/>
  </r>
  <r>
    <x v="111"/>
    <x v="11"/>
    <n v="8"/>
    <n v="7"/>
    <n v="7"/>
    <n v="0"/>
    <n v="1"/>
  </r>
  <r>
    <x v="112"/>
    <x v="0"/>
    <n v="7"/>
    <n v="4"/>
    <n v="4"/>
    <n v="0"/>
    <n v="0"/>
  </r>
  <r>
    <x v="112"/>
    <x v="0"/>
    <n v="3"/>
    <n v="2"/>
    <n v="2"/>
    <n v="0"/>
    <n v="0"/>
  </r>
  <r>
    <x v="112"/>
    <x v="12"/>
    <n v="1"/>
    <n v="0"/>
    <n v="0"/>
    <n v="0"/>
    <n v="0"/>
  </r>
  <r>
    <x v="112"/>
    <x v="2"/>
    <n v="17"/>
    <n v="17"/>
    <n v="14"/>
    <n v="3"/>
    <n v="0"/>
  </r>
  <r>
    <x v="112"/>
    <x v="2"/>
    <n v="17"/>
    <n v="16"/>
    <n v="15"/>
    <n v="1"/>
    <n v="0"/>
  </r>
  <r>
    <x v="112"/>
    <x v="3"/>
    <n v="58"/>
    <n v="58"/>
    <n v="55"/>
    <n v="3"/>
    <n v="0"/>
  </r>
  <r>
    <x v="112"/>
    <x v="3"/>
    <n v="50"/>
    <n v="49"/>
    <n v="47"/>
    <n v="2"/>
    <n v="0"/>
  </r>
  <r>
    <x v="112"/>
    <x v="4"/>
    <n v="56"/>
    <n v="55"/>
    <n v="54"/>
    <n v="1"/>
    <n v="0"/>
  </r>
  <r>
    <x v="112"/>
    <x v="4"/>
    <n v="48"/>
    <n v="47"/>
    <n v="45"/>
    <n v="2"/>
    <n v="0"/>
  </r>
  <r>
    <x v="112"/>
    <x v="5"/>
    <n v="236"/>
    <n v="236"/>
    <n v="227"/>
    <n v="9"/>
    <n v="0"/>
  </r>
  <r>
    <x v="112"/>
    <x v="5"/>
    <n v="181"/>
    <n v="181"/>
    <n v="175"/>
    <n v="6"/>
    <n v="0"/>
  </r>
  <r>
    <x v="112"/>
    <x v="6"/>
    <n v="3"/>
    <n v="3"/>
    <n v="3"/>
    <n v="0"/>
    <n v="0"/>
  </r>
  <r>
    <x v="112"/>
    <x v="6"/>
    <n v="2"/>
    <n v="2"/>
    <n v="2"/>
    <n v="0"/>
    <n v="0"/>
  </r>
  <r>
    <x v="112"/>
    <x v="7"/>
    <n v="1"/>
    <n v="1"/>
    <n v="0"/>
    <n v="1"/>
    <n v="0"/>
  </r>
  <r>
    <x v="112"/>
    <x v="7"/>
    <n v="1"/>
    <n v="1"/>
    <n v="0"/>
    <n v="1"/>
    <n v="0"/>
  </r>
  <r>
    <x v="112"/>
    <x v="8"/>
    <n v="20"/>
    <n v="20"/>
    <n v="17"/>
    <n v="3"/>
    <n v="0"/>
  </r>
  <r>
    <x v="112"/>
    <x v="8"/>
    <n v="14"/>
    <n v="13"/>
    <n v="12"/>
    <n v="1"/>
    <n v="0"/>
  </r>
  <r>
    <x v="112"/>
    <x v="9"/>
    <n v="10"/>
    <n v="10"/>
    <n v="9"/>
    <n v="1"/>
    <n v="0"/>
  </r>
  <r>
    <x v="112"/>
    <x v="9"/>
    <n v="3"/>
    <n v="2"/>
    <n v="1"/>
    <n v="1"/>
    <n v="0"/>
  </r>
  <r>
    <x v="112"/>
    <x v="10"/>
    <n v="159"/>
    <n v="159"/>
    <n v="154"/>
    <n v="5"/>
    <n v="0"/>
  </r>
  <r>
    <x v="112"/>
    <x v="10"/>
    <n v="126"/>
    <n v="126"/>
    <n v="115"/>
    <n v="11"/>
    <n v="0"/>
  </r>
  <r>
    <x v="112"/>
    <x v="11"/>
    <n v="19"/>
    <n v="19"/>
    <n v="16"/>
    <n v="3"/>
    <n v="0"/>
  </r>
  <r>
    <x v="112"/>
    <x v="11"/>
    <n v="14"/>
    <n v="14"/>
    <n v="14"/>
    <n v="0"/>
    <n v="0"/>
  </r>
  <r>
    <x v="113"/>
    <x v="2"/>
    <n v="2"/>
    <n v="2"/>
    <n v="2"/>
    <n v="0"/>
    <n v="0"/>
  </r>
  <r>
    <x v="113"/>
    <x v="2"/>
    <n v="3"/>
    <n v="3"/>
    <n v="3"/>
    <n v="0"/>
    <n v="0"/>
  </r>
  <r>
    <x v="113"/>
    <x v="3"/>
    <n v="6"/>
    <n v="6"/>
    <n v="6"/>
    <n v="0"/>
    <n v="0"/>
  </r>
  <r>
    <x v="113"/>
    <x v="3"/>
    <n v="4"/>
    <n v="4"/>
    <n v="3"/>
    <n v="1"/>
    <n v="0"/>
  </r>
  <r>
    <x v="113"/>
    <x v="4"/>
    <n v="13"/>
    <n v="13"/>
    <n v="9"/>
    <n v="4"/>
    <n v="0"/>
  </r>
  <r>
    <x v="113"/>
    <x v="4"/>
    <n v="8"/>
    <n v="8"/>
    <n v="6"/>
    <n v="2"/>
    <n v="0"/>
  </r>
  <r>
    <x v="113"/>
    <x v="5"/>
    <n v="27"/>
    <n v="27"/>
    <n v="25"/>
    <n v="2"/>
    <n v="0"/>
  </r>
  <r>
    <x v="113"/>
    <x v="5"/>
    <n v="12"/>
    <n v="12"/>
    <n v="12"/>
    <n v="0"/>
    <n v="0"/>
  </r>
  <r>
    <x v="113"/>
    <x v="6"/>
    <n v="5"/>
    <n v="5"/>
    <n v="5"/>
    <n v="0"/>
    <n v="0"/>
  </r>
  <r>
    <x v="113"/>
    <x v="6"/>
    <n v="2"/>
    <n v="2"/>
    <n v="2"/>
    <n v="0"/>
    <n v="0"/>
  </r>
  <r>
    <x v="113"/>
    <x v="8"/>
    <n v="2"/>
    <n v="2"/>
    <n v="2"/>
    <n v="0"/>
    <n v="0"/>
  </r>
  <r>
    <x v="113"/>
    <x v="9"/>
    <n v="1"/>
    <n v="1"/>
    <n v="1"/>
    <n v="0"/>
    <n v="0"/>
  </r>
  <r>
    <x v="113"/>
    <x v="10"/>
    <n v="11"/>
    <n v="10"/>
    <n v="10"/>
    <n v="0"/>
    <n v="1"/>
  </r>
  <r>
    <x v="113"/>
    <x v="10"/>
    <n v="6"/>
    <n v="6"/>
    <n v="4"/>
    <n v="2"/>
    <n v="0"/>
  </r>
  <r>
    <x v="113"/>
    <x v="11"/>
    <n v="1"/>
    <n v="1"/>
    <n v="1"/>
    <n v="0"/>
    <n v="0"/>
  </r>
  <r>
    <x v="114"/>
    <x v="0"/>
    <n v="4"/>
    <n v="4"/>
    <n v="4"/>
    <n v="0"/>
    <n v="0"/>
  </r>
  <r>
    <x v="114"/>
    <x v="0"/>
    <n v="2"/>
    <n v="2"/>
    <n v="2"/>
    <n v="0"/>
    <n v="0"/>
  </r>
  <r>
    <x v="114"/>
    <x v="2"/>
    <n v="15"/>
    <n v="15"/>
    <n v="14"/>
    <n v="1"/>
    <n v="0"/>
  </r>
  <r>
    <x v="114"/>
    <x v="2"/>
    <n v="19"/>
    <n v="19"/>
    <n v="19"/>
    <n v="0"/>
    <n v="0"/>
  </r>
  <r>
    <x v="114"/>
    <x v="3"/>
    <n v="29"/>
    <n v="29"/>
    <n v="29"/>
    <n v="0"/>
    <n v="0"/>
  </r>
  <r>
    <x v="114"/>
    <x v="3"/>
    <n v="16"/>
    <n v="16"/>
    <n v="15"/>
    <n v="1"/>
    <n v="0"/>
  </r>
  <r>
    <x v="114"/>
    <x v="4"/>
    <n v="58"/>
    <n v="56"/>
    <n v="42"/>
    <n v="14"/>
    <n v="0"/>
  </r>
  <r>
    <x v="114"/>
    <x v="4"/>
    <n v="47"/>
    <n v="44"/>
    <n v="41"/>
    <n v="3"/>
    <n v="1"/>
  </r>
  <r>
    <x v="114"/>
    <x v="5"/>
    <n v="82"/>
    <n v="81"/>
    <n v="79"/>
    <n v="2"/>
    <n v="0"/>
  </r>
  <r>
    <x v="114"/>
    <x v="5"/>
    <n v="46"/>
    <n v="46"/>
    <n v="44"/>
    <n v="2"/>
    <n v="0"/>
  </r>
  <r>
    <x v="114"/>
    <x v="6"/>
    <n v="4"/>
    <n v="4"/>
    <n v="4"/>
    <n v="0"/>
    <n v="0"/>
  </r>
  <r>
    <x v="114"/>
    <x v="6"/>
    <n v="2"/>
    <n v="2"/>
    <n v="2"/>
    <n v="0"/>
    <n v="0"/>
  </r>
  <r>
    <x v="114"/>
    <x v="7"/>
    <n v="8"/>
    <n v="8"/>
    <n v="8"/>
    <n v="0"/>
    <n v="0"/>
  </r>
  <r>
    <x v="114"/>
    <x v="7"/>
    <n v="1"/>
    <n v="1"/>
    <n v="1"/>
    <n v="0"/>
    <n v="0"/>
  </r>
  <r>
    <x v="114"/>
    <x v="8"/>
    <n v="12"/>
    <n v="12"/>
    <n v="11"/>
    <n v="1"/>
    <n v="0"/>
  </r>
  <r>
    <x v="114"/>
    <x v="8"/>
    <n v="17"/>
    <n v="15"/>
    <n v="15"/>
    <n v="0"/>
    <n v="0"/>
  </r>
  <r>
    <x v="114"/>
    <x v="9"/>
    <n v="6"/>
    <n v="6"/>
    <n v="6"/>
    <n v="0"/>
    <n v="0"/>
  </r>
  <r>
    <x v="114"/>
    <x v="9"/>
    <n v="9"/>
    <n v="9"/>
    <n v="9"/>
    <n v="0"/>
    <n v="0"/>
  </r>
  <r>
    <x v="114"/>
    <x v="10"/>
    <n v="72"/>
    <n v="72"/>
    <n v="71"/>
    <n v="1"/>
    <n v="0"/>
  </r>
  <r>
    <x v="114"/>
    <x v="10"/>
    <n v="33"/>
    <n v="32"/>
    <n v="32"/>
    <n v="0"/>
    <n v="0"/>
  </r>
  <r>
    <x v="114"/>
    <x v="11"/>
    <n v="1"/>
    <n v="1"/>
    <n v="1"/>
    <n v="0"/>
    <n v="0"/>
  </r>
  <r>
    <x v="115"/>
    <x v="0"/>
    <n v="12"/>
    <n v="12"/>
    <n v="10"/>
    <n v="2"/>
    <n v="0"/>
  </r>
  <r>
    <x v="115"/>
    <x v="0"/>
    <n v="7"/>
    <n v="5"/>
    <n v="4"/>
    <n v="1"/>
    <n v="0"/>
  </r>
  <r>
    <x v="115"/>
    <x v="2"/>
    <n v="24"/>
    <n v="24"/>
    <n v="24"/>
    <n v="0"/>
    <n v="0"/>
  </r>
  <r>
    <x v="115"/>
    <x v="2"/>
    <n v="12"/>
    <n v="11"/>
    <n v="10"/>
    <n v="1"/>
    <n v="0"/>
  </r>
  <r>
    <x v="115"/>
    <x v="3"/>
    <n v="10"/>
    <n v="9"/>
    <n v="9"/>
    <n v="0"/>
    <n v="0"/>
  </r>
  <r>
    <x v="115"/>
    <x v="3"/>
    <n v="15"/>
    <n v="15"/>
    <n v="15"/>
    <n v="0"/>
    <n v="1"/>
  </r>
  <r>
    <x v="115"/>
    <x v="4"/>
    <n v="21"/>
    <n v="20"/>
    <n v="18"/>
    <n v="2"/>
    <n v="0"/>
  </r>
  <r>
    <x v="115"/>
    <x v="4"/>
    <n v="16"/>
    <n v="14"/>
    <n v="14"/>
    <n v="0"/>
    <n v="0"/>
  </r>
  <r>
    <x v="115"/>
    <x v="5"/>
    <n v="23"/>
    <n v="21"/>
    <n v="21"/>
    <n v="0"/>
    <n v="0"/>
  </r>
  <r>
    <x v="115"/>
    <x v="5"/>
    <n v="17"/>
    <n v="16"/>
    <n v="14"/>
    <n v="2"/>
    <n v="0"/>
  </r>
  <r>
    <x v="115"/>
    <x v="6"/>
    <n v="3"/>
    <n v="2"/>
    <n v="2"/>
    <n v="0"/>
    <n v="0"/>
  </r>
  <r>
    <x v="115"/>
    <x v="7"/>
    <n v="1"/>
    <n v="1"/>
    <n v="1"/>
    <n v="0"/>
    <n v="0"/>
  </r>
  <r>
    <x v="115"/>
    <x v="8"/>
    <n v="7"/>
    <n v="7"/>
    <n v="7"/>
    <n v="0"/>
    <n v="0"/>
  </r>
  <r>
    <x v="115"/>
    <x v="8"/>
    <n v="7"/>
    <n v="6"/>
    <n v="5"/>
    <n v="1"/>
    <n v="0"/>
  </r>
  <r>
    <x v="115"/>
    <x v="9"/>
    <n v="5"/>
    <n v="5"/>
    <n v="5"/>
    <n v="0"/>
    <n v="0"/>
  </r>
  <r>
    <x v="115"/>
    <x v="9"/>
    <n v="3"/>
    <n v="2"/>
    <n v="2"/>
    <n v="0"/>
    <n v="0"/>
  </r>
  <r>
    <x v="115"/>
    <x v="10"/>
    <n v="18"/>
    <n v="18"/>
    <n v="18"/>
    <n v="0"/>
    <n v="0"/>
  </r>
  <r>
    <x v="115"/>
    <x v="10"/>
    <n v="21"/>
    <n v="21"/>
    <n v="17"/>
    <n v="4"/>
    <n v="0"/>
  </r>
  <r>
    <x v="116"/>
    <x v="12"/>
    <n v="2"/>
    <n v="0"/>
    <n v="0"/>
    <n v="0"/>
    <n v="0"/>
  </r>
  <r>
    <x v="116"/>
    <x v="2"/>
    <n v="6"/>
    <n v="6"/>
    <n v="6"/>
    <n v="0"/>
    <n v="0"/>
  </r>
  <r>
    <x v="116"/>
    <x v="2"/>
    <n v="3"/>
    <n v="3"/>
    <n v="3"/>
    <n v="0"/>
    <n v="0"/>
  </r>
  <r>
    <x v="116"/>
    <x v="3"/>
    <n v="40"/>
    <n v="40"/>
    <n v="39"/>
    <n v="1"/>
    <n v="0"/>
  </r>
  <r>
    <x v="116"/>
    <x v="3"/>
    <n v="27"/>
    <n v="27"/>
    <n v="26"/>
    <n v="1"/>
    <n v="0"/>
  </r>
  <r>
    <x v="116"/>
    <x v="4"/>
    <n v="58"/>
    <n v="57"/>
    <n v="54"/>
    <n v="3"/>
    <n v="0"/>
  </r>
  <r>
    <x v="116"/>
    <x v="4"/>
    <n v="33"/>
    <n v="33"/>
    <n v="32"/>
    <n v="1"/>
    <n v="0"/>
  </r>
  <r>
    <x v="116"/>
    <x v="5"/>
    <n v="17"/>
    <n v="17"/>
    <n v="15"/>
    <n v="2"/>
    <n v="0"/>
  </r>
  <r>
    <x v="116"/>
    <x v="5"/>
    <n v="15"/>
    <n v="15"/>
    <n v="15"/>
    <n v="0"/>
    <n v="0"/>
  </r>
  <r>
    <x v="116"/>
    <x v="8"/>
    <n v="1"/>
    <n v="1"/>
    <n v="0"/>
    <n v="1"/>
    <n v="0"/>
  </r>
  <r>
    <x v="116"/>
    <x v="10"/>
    <n v="29"/>
    <n v="29"/>
    <n v="27"/>
    <n v="2"/>
    <n v="0"/>
  </r>
  <r>
    <x v="116"/>
    <x v="10"/>
    <n v="9"/>
    <n v="9"/>
    <n v="7"/>
    <n v="2"/>
    <n v="0"/>
  </r>
  <r>
    <x v="116"/>
    <x v="11"/>
    <n v="1"/>
    <n v="0"/>
    <n v="0"/>
    <n v="0"/>
    <n v="0"/>
  </r>
  <r>
    <x v="117"/>
    <x v="0"/>
    <n v="4"/>
    <n v="1"/>
    <n v="1"/>
    <n v="0"/>
    <n v="0"/>
  </r>
  <r>
    <x v="117"/>
    <x v="12"/>
    <n v="3"/>
    <n v="0"/>
    <n v="0"/>
    <n v="0"/>
    <n v="0"/>
  </r>
  <r>
    <x v="117"/>
    <x v="2"/>
    <n v="14"/>
    <n v="14"/>
    <n v="9"/>
    <n v="5"/>
    <n v="0"/>
  </r>
  <r>
    <x v="117"/>
    <x v="2"/>
    <n v="7"/>
    <n v="7"/>
    <n v="5"/>
    <n v="2"/>
    <n v="0"/>
  </r>
  <r>
    <x v="117"/>
    <x v="3"/>
    <n v="29"/>
    <n v="29"/>
    <n v="26"/>
    <n v="3"/>
    <n v="0"/>
  </r>
  <r>
    <x v="117"/>
    <x v="3"/>
    <n v="26"/>
    <n v="26"/>
    <n v="20"/>
    <n v="6"/>
    <n v="0"/>
  </r>
  <r>
    <x v="117"/>
    <x v="4"/>
    <n v="44"/>
    <n v="42"/>
    <n v="33"/>
    <n v="9"/>
    <n v="0"/>
  </r>
  <r>
    <x v="117"/>
    <x v="4"/>
    <n v="35"/>
    <n v="34"/>
    <n v="23"/>
    <n v="11"/>
    <n v="0"/>
  </r>
  <r>
    <x v="117"/>
    <x v="5"/>
    <n v="38"/>
    <n v="38"/>
    <n v="25"/>
    <n v="13"/>
    <n v="0"/>
  </r>
  <r>
    <x v="117"/>
    <x v="5"/>
    <n v="33"/>
    <n v="32"/>
    <n v="29"/>
    <n v="3"/>
    <n v="0"/>
  </r>
  <r>
    <x v="117"/>
    <x v="6"/>
    <n v="23"/>
    <n v="23"/>
    <n v="22"/>
    <n v="1"/>
    <n v="0"/>
  </r>
  <r>
    <x v="117"/>
    <x v="6"/>
    <n v="19"/>
    <n v="19"/>
    <n v="19"/>
    <n v="0"/>
    <n v="0"/>
  </r>
  <r>
    <x v="117"/>
    <x v="8"/>
    <n v="13"/>
    <n v="13"/>
    <n v="9"/>
    <n v="4"/>
    <n v="0"/>
  </r>
  <r>
    <x v="117"/>
    <x v="8"/>
    <n v="5"/>
    <n v="4"/>
    <n v="3"/>
    <n v="1"/>
    <n v="0"/>
  </r>
  <r>
    <x v="117"/>
    <x v="9"/>
    <n v="11"/>
    <n v="11"/>
    <n v="11"/>
    <n v="0"/>
    <n v="0"/>
  </r>
  <r>
    <x v="117"/>
    <x v="9"/>
    <n v="1"/>
    <n v="0"/>
    <n v="0"/>
    <n v="0"/>
    <n v="0"/>
  </r>
  <r>
    <x v="117"/>
    <x v="10"/>
    <n v="24"/>
    <n v="24"/>
    <n v="17"/>
    <n v="7"/>
    <n v="0"/>
  </r>
  <r>
    <x v="117"/>
    <x v="10"/>
    <n v="25"/>
    <n v="25"/>
    <n v="14"/>
    <n v="11"/>
    <n v="0"/>
  </r>
  <r>
    <x v="117"/>
    <x v="11"/>
    <n v="10"/>
    <n v="10"/>
    <n v="10"/>
    <n v="0"/>
    <n v="0"/>
  </r>
  <r>
    <x v="117"/>
    <x v="11"/>
    <n v="5"/>
    <n v="5"/>
    <n v="5"/>
    <n v="0"/>
    <n v="0"/>
  </r>
  <r>
    <x v="118"/>
    <x v="0"/>
    <n v="2"/>
    <n v="2"/>
    <n v="2"/>
    <n v="0"/>
    <n v="0"/>
  </r>
  <r>
    <x v="118"/>
    <x v="0"/>
    <n v="1"/>
    <n v="1"/>
    <n v="1"/>
    <n v="0"/>
    <n v="0"/>
  </r>
  <r>
    <x v="118"/>
    <x v="12"/>
    <n v="1"/>
    <n v="0"/>
    <n v="0"/>
    <n v="0"/>
    <n v="0"/>
  </r>
  <r>
    <x v="118"/>
    <x v="2"/>
    <n v="23"/>
    <n v="20"/>
    <n v="15"/>
    <n v="5"/>
    <n v="2"/>
  </r>
  <r>
    <x v="118"/>
    <x v="2"/>
    <n v="10"/>
    <n v="9"/>
    <n v="8"/>
    <n v="1"/>
    <n v="0"/>
  </r>
  <r>
    <x v="118"/>
    <x v="3"/>
    <n v="23"/>
    <n v="21"/>
    <n v="13"/>
    <n v="8"/>
    <n v="0"/>
  </r>
  <r>
    <x v="118"/>
    <x v="3"/>
    <n v="17"/>
    <n v="16"/>
    <n v="14"/>
    <n v="2"/>
    <n v="0"/>
  </r>
  <r>
    <x v="118"/>
    <x v="4"/>
    <n v="38"/>
    <n v="37"/>
    <n v="36"/>
    <n v="1"/>
    <n v="0"/>
  </r>
  <r>
    <x v="118"/>
    <x v="4"/>
    <n v="16"/>
    <n v="16"/>
    <n v="16"/>
    <n v="0"/>
    <n v="0"/>
  </r>
  <r>
    <x v="118"/>
    <x v="5"/>
    <n v="64"/>
    <n v="62"/>
    <n v="44"/>
    <n v="18"/>
    <n v="0"/>
  </r>
  <r>
    <x v="118"/>
    <x v="5"/>
    <n v="42"/>
    <n v="42"/>
    <n v="32"/>
    <n v="10"/>
    <n v="0"/>
  </r>
  <r>
    <x v="118"/>
    <x v="6"/>
    <n v="71"/>
    <n v="70"/>
    <n v="70"/>
    <n v="0"/>
    <n v="0"/>
  </r>
  <r>
    <x v="118"/>
    <x v="6"/>
    <n v="13"/>
    <n v="12"/>
    <n v="12"/>
    <n v="0"/>
    <n v="0"/>
  </r>
  <r>
    <x v="118"/>
    <x v="8"/>
    <n v="14"/>
    <n v="13"/>
    <n v="10"/>
    <n v="3"/>
    <n v="0"/>
  </r>
  <r>
    <x v="118"/>
    <x v="8"/>
    <n v="9"/>
    <n v="9"/>
    <n v="7"/>
    <n v="2"/>
    <n v="0"/>
  </r>
  <r>
    <x v="118"/>
    <x v="9"/>
    <n v="13"/>
    <n v="13"/>
    <n v="6"/>
    <n v="7"/>
    <n v="0"/>
  </r>
  <r>
    <x v="118"/>
    <x v="9"/>
    <n v="1"/>
    <n v="1"/>
    <n v="1"/>
    <n v="0"/>
    <n v="0"/>
  </r>
  <r>
    <x v="118"/>
    <x v="10"/>
    <n v="52"/>
    <n v="52"/>
    <n v="40"/>
    <n v="12"/>
    <n v="0"/>
  </r>
  <r>
    <x v="118"/>
    <x v="10"/>
    <n v="36"/>
    <n v="35"/>
    <n v="25"/>
    <n v="10"/>
    <n v="0"/>
  </r>
  <r>
    <x v="118"/>
    <x v="11"/>
    <n v="18"/>
    <n v="15"/>
    <n v="13"/>
    <n v="2"/>
    <n v="0"/>
  </r>
  <r>
    <x v="118"/>
    <x v="11"/>
    <n v="9"/>
    <n v="8"/>
    <n v="6"/>
    <n v="2"/>
    <n v="0"/>
  </r>
  <r>
    <x v="119"/>
    <x v="0"/>
    <n v="3"/>
    <n v="3"/>
    <n v="3"/>
    <n v="0"/>
    <n v="0"/>
  </r>
  <r>
    <x v="119"/>
    <x v="0"/>
    <n v="4"/>
    <n v="4"/>
    <n v="4"/>
    <n v="0"/>
    <n v="0"/>
  </r>
  <r>
    <x v="119"/>
    <x v="12"/>
    <n v="6"/>
    <n v="0"/>
    <n v="0"/>
    <n v="0"/>
    <n v="0"/>
  </r>
  <r>
    <x v="119"/>
    <x v="2"/>
    <n v="15"/>
    <n v="15"/>
    <n v="13"/>
    <n v="2"/>
    <n v="0"/>
  </r>
  <r>
    <x v="119"/>
    <x v="2"/>
    <n v="21"/>
    <n v="21"/>
    <n v="16"/>
    <n v="5"/>
    <n v="0"/>
  </r>
  <r>
    <x v="119"/>
    <x v="3"/>
    <n v="26"/>
    <n v="26"/>
    <n v="22"/>
    <n v="4"/>
    <n v="0"/>
  </r>
  <r>
    <x v="119"/>
    <x v="3"/>
    <n v="23"/>
    <n v="23"/>
    <n v="20"/>
    <n v="3"/>
    <n v="0"/>
  </r>
  <r>
    <x v="119"/>
    <x v="4"/>
    <n v="74"/>
    <n v="72"/>
    <n v="59"/>
    <n v="13"/>
    <n v="0"/>
  </r>
  <r>
    <x v="119"/>
    <x v="4"/>
    <n v="49"/>
    <n v="42"/>
    <n v="34"/>
    <n v="8"/>
    <n v="0"/>
  </r>
  <r>
    <x v="119"/>
    <x v="5"/>
    <n v="78"/>
    <n v="78"/>
    <n v="66"/>
    <n v="12"/>
    <n v="0"/>
  </r>
  <r>
    <x v="119"/>
    <x v="5"/>
    <n v="30"/>
    <n v="29"/>
    <n v="21"/>
    <n v="8"/>
    <n v="0"/>
  </r>
  <r>
    <x v="119"/>
    <x v="6"/>
    <n v="17"/>
    <n v="17"/>
    <n v="17"/>
    <n v="0"/>
    <n v="0"/>
  </r>
  <r>
    <x v="119"/>
    <x v="6"/>
    <n v="10"/>
    <n v="10"/>
    <n v="10"/>
    <n v="0"/>
    <n v="0"/>
  </r>
  <r>
    <x v="119"/>
    <x v="7"/>
    <n v="9"/>
    <n v="8"/>
    <n v="6"/>
    <n v="2"/>
    <n v="0"/>
  </r>
  <r>
    <x v="119"/>
    <x v="7"/>
    <n v="2"/>
    <n v="2"/>
    <n v="1"/>
    <n v="1"/>
    <n v="0"/>
  </r>
  <r>
    <x v="119"/>
    <x v="8"/>
    <n v="14"/>
    <n v="14"/>
    <n v="13"/>
    <n v="1"/>
    <n v="0"/>
  </r>
  <r>
    <x v="119"/>
    <x v="8"/>
    <n v="15"/>
    <n v="15"/>
    <n v="15"/>
    <n v="0"/>
    <n v="0"/>
  </r>
  <r>
    <x v="119"/>
    <x v="9"/>
    <n v="12"/>
    <n v="11"/>
    <n v="11"/>
    <n v="0"/>
    <n v="0"/>
  </r>
  <r>
    <x v="119"/>
    <x v="9"/>
    <n v="8"/>
    <n v="8"/>
    <n v="8"/>
    <n v="0"/>
    <n v="0"/>
  </r>
  <r>
    <x v="119"/>
    <x v="10"/>
    <n v="73"/>
    <n v="73"/>
    <n v="70"/>
    <n v="3"/>
    <n v="0"/>
  </r>
  <r>
    <x v="119"/>
    <x v="10"/>
    <n v="37"/>
    <n v="37"/>
    <n v="29"/>
    <n v="8"/>
    <n v="0"/>
  </r>
  <r>
    <x v="119"/>
    <x v="11"/>
    <n v="24"/>
    <n v="23"/>
    <n v="17"/>
    <n v="6"/>
    <n v="0"/>
  </r>
  <r>
    <x v="119"/>
    <x v="11"/>
    <n v="10"/>
    <n v="6"/>
    <n v="4"/>
    <n v="2"/>
    <n v="0"/>
  </r>
  <r>
    <x v="120"/>
    <x v="0"/>
    <n v="2"/>
    <n v="0"/>
    <n v="0"/>
    <n v="0"/>
    <n v="0"/>
  </r>
  <r>
    <x v="120"/>
    <x v="12"/>
    <n v="1"/>
    <n v="0"/>
    <n v="0"/>
    <n v="0"/>
    <n v="0"/>
  </r>
  <r>
    <x v="120"/>
    <x v="2"/>
    <n v="4"/>
    <n v="4"/>
    <n v="4"/>
    <n v="0"/>
    <n v="0"/>
  </r>
  <r>
    <x v="120"/>
    <x v="2"/>
    <n v="8"/>
    <n v="8"/>
    <n v="8"/>
    <n v="0"/>
    <n v="0"/>
  </r>
  <r>
    <x v="120"/>
    <x v="3"/>
    <n v="21"/>
    <n v="21"/>
    <n v="18"/>
    <n v="3"/>
    <n v="0"/>
  </r>
  <r>
    <x v="120"/>
    <x v="3"/>
    <n v="7"/>
    <n v="7"/>
    <n v="6"/>
    <n v="1"/>
    <n v="0"/>
  </r>
  <r>
    <x v="120"/>
    <x v="4"/>
    <n v="32"/>
    <n v="29"/>
    <n v="20"/>
    <n v="9"/>
    <n v="0"/>
  </r>
  <r>
    <x v="120"/>
    <x v="4"/>
    <n v="18"/>
    <n v="17"/>
    <n v="16"/>
    <n v="1"/>
    <n v="0"/>
  </r>
  <r>
    <x v="120"/>
    <x v="5"/>
    <n v="20"/>
    <n v="20"/>
    <n v="17"/>
    <n v="3"/>
    <n v="0"/>
  </r>
  <r>
    <x v="120"/>
    <x v="5"/>
    <n v="16"/>
    <n v="16"/>
    <n v="11"/>
    <n v="5"/>
    <n v="0"/>
  </r>
  <r>
    <x v="120"/>
    <x v="6"/>
    <n v="14"/>
    <n v="14"/>
    <n v="14"/>
    <n v="0"/>
    <n v="0"/>
  </r>
  <r>
    <x v="120"/>
    <x v="6"/>
    <n v="1"/>
    <n v="1"/>
    <n v="1"/>
    <n v="0"/>
    <n v="0"/>
  </r>
  <r>
    <x v="120"/>
    <x v="7"/>
    <n v="2"/>
    <n v="2"/>
    <n v="1"/>
    <n v="1"/>
    <n v="0"/>
  </r>
  <r>
    <x v="120"/>
    <x v="7"/>
    <n v="1"/>
    <n v="1"/>
    <n v="1"/>
    <n v="0"/>
    <n v="0"/>
  </r>
  <r>
    <x v="120"/>
    <x v="8"/>
    <n v="5"/>
    <n v="5"/>
    <n v="5"/>
    <n v="0"/>
    <n v="0"/>
  </r>
  <r>
    <x v="120"/>
    <x v="8"/>
    <n v="1"/>
    <n v="1"/>
    <n v="1"/>
    <n v="0"/>
    <n v="0"/>
  </r>
  <r>
    <x v="120"/>
    <x v="9"/>
    <n v="1"/>
    <n v="0"/>
    <n v="0"/>
    <n v="0"/>
    <n v="0"/>
  </r>
  <r>
    <x v="120"/>
    <x v="10"/>
    <n v="26"/>
    <n v="26"/>
    <n v="24"/>
    <n v="2"/>
    <n v="0"/>
  </r>
  <r>
    <x v="120"/>
    <x v="10"/>
    <n v="16"/>
    <n v="16"/>
    <n v="16"/>
    <n v="0"/>
    <n v="0"/>
  </r>
  <r>
    <x v="120"/>
    <x v="11"/>
    <n v="2"/>
    <n v="2"/>
    <n v="2"/>
    <n v="0"/>
    <n v="0"/>
  </r>
  <r>
    <x v="120"/>
    <x v="11"/>
    <n v="10"/>
    <n v="10"/>
    <n v="10"/>
    <n v="0"/>
    <n v="0"/>
  </r>
  <r>
    <x v="121"/>
    <x v="0"/>
    <n v="27"/>
    <n v="25"/>
    <n v="20"/>
    <n v="5"/>
    <n v="0"/>
  </r>
  <r>
    <x v="121"/>
    <x v="0"/>
    <n v="11"/>
    <n v="10"/>
    <n v="10"/>
    <n v="0"/>
    <n v="0"/>
  </r>
  <r>
    <x v="121"/>
    <x v="12"/>
    <n v="5"/>
    <n v="0"/>
    <n v="0"/>
    <n v="0"/>
    <n v="0"/>
  </r>
  <r>
    <x v="121"/>
    <x v="2"/>
    <n v="116"/>
    <n v="110"/>
    <n v="108"/>
    <n v="2"/>
    <n v="0"/>
  </r>
  <r>
    <x v="121"/>
    <x v="2"/>
    <n v="81"/>
    <n v="74"/>
    <n v="66"/>
    <n v="8"/>
    <n v="0"/>
  </r>
  <r>
    <x v="121"/>
    <x v="3"/>
    <n v="102"/>
    <n v="85"/>
    <n v="77"/>
    <n v="8"/>
    <n v="0"/>
  </r>
  <r>
    <x v="121"/>
    <x v="3"/>
    <n v="86"/>
    <n v="79"/>
    <n v="60"/>
    <n v="19"/>
    <n v="0"/>
  </r>
  <r>
    <x v="121"/>
    <x v="4"/>
    <n v="169"/>
    <n v="141"/>
    <n v="134"/>
    <n v="7"/>
    <n v="7"/>
  </r>
  <r>
    <x v="121"/>
    <x v="4"/>
    <n v="133"/>
    <n v="98"/>
    <n v="90"/>
    <n v="8"/>
    <n v="6"/>
  </r>
  <r>
    <x v="121"/>
    <x v="13"/>
    <n v="1"/>
    <n v="1"/>
    <n v="1"/>
    <n v="0"/>
    <n v="0"/>
  </r>
  <r>
    <x v="121"/>
    <x v="5"/>
    <n v="107"/>
    <n v="98"/>
    <n v="91"/>
    <n v="7"/>
    <n v="0"/>
  </r>
  <r>
    <x v="121"/>
    <x v="5"/>
    <n v="62"/>
    <n v="59"/>
    <n v="41"/>
    <n v="18"/>
    <n v="0"/>
  </r>
  <r>
    <x v="121"/>
    <x v="6"/>
    <n v="46"/>
    <n v="45"/>
    <n v="45"/>
    <n v="0"/>
    <n v="0"/>
  </r>
  <r>
    <x v="121"/>
    <x v="6"/>
    <n v="41"/>
    <n v="40"/>
    <n v="40"/>
    <n v="0"/>
    <n v="0"/>
  </r>
  <r>
    <x v="121"/>
    <x v="7"/>
    <n v="34"/>
    <n v="30"/>
    <n v="28"/>
    <n v="2"/>
    <n v="0"/>
  </r>
  <r>
    <x v="121"/>
    <x v="7"/>
    <n v="17"/>
    <n v="16"/>
    <n v="14"/>
    <n v="2"/>
    <n v="0"/>
  </r>
  <r>
    <x v="121"/>
    <x v="8"/>
    <n v="70"/>
    <n v="69"/>
    <n v="54"/>
    <n v="15"/>
    <n v="0"/>
  </r>
  <r>
    <x v="121"/>
    <x v="8"/>
    <n v="37"/>
    <n v="33"/>
    <n v="30"/>
    <n v="3"/>
    <n v="0"/>
  </r>
  <r>
    <x v="121"/>
    <x v="9"/>
    <n v="44"/>
    <n v="34"/>
    <n v="33"/>
    <n v="1"/>
    <n v="1"/>
  </r>
  <r>
    <x v="121"/>
    <x v="9"/>
    <n v="8"/>
    <n v="8"/>
    <n v="8"/>
    <n v="0"/>
    <n v="0"/>
  </r>
  <r>
    <x v="121"/>
    <x v="10"/>
    <n v="124"/>
    <n v="124"/>
    <n v="102"/>
    <n v="22"/>
    <n v="0"/>
  </r>
  <r>
    <x v="121"/>
    <x v="10"/>
    <n v="103"/>
    <n v="100"/>
    <n v="71"/>
    <n v="29"/>
    <n v="0"/>
  </r>
  <r>
    <x v="121"/>
    <x v="11"/>
    <n v="83"/>
    <n v="80"/>
    <n v="63"/>
    <n v="17"/>
    <n v="0"/>
  </r>
  <r>
    <x v="121"/>
    <x v="11"/>
    <n v="50"/>
    <n v="43"/>
    <n v="42"/>
    <n v="1"/>
    <n v="0"/>
  </r>
  <r>
    <x v="122"/>
    <x v="14"/>
    <n v="2"/>
    <n v="2"/>
    <n v="2"/>
    <n v="0"/>
    <n v="0"/>
  </r>
  <r>
    <x v="122"/>
    <x v="0"/>
    <n v="5"/>
    <n v="3"/>
    <n v="2"/>
    <n v="1"/>
    <n v="0"/>
  </r>
  <r>
    <x v="122"/>
    <x v="0"/>
    <n v="8"/>
    <n v="8"/>
    <n v="8"/>
    <n v="0"/>
    <n v="0"/>
  </r>
  <r>
    <x v="122"/>
    <x v="1"/>
    <n v="2"/>
    <n v="0"/>
    <n v="0"/>
    <n v="0"/>
    <n v="0"/>
  </r>
  <r>
    <x v="122"/>
    <x v="2"/>
    <n v="7"/>
    <n v="7"/>
    <n v="7"/>
    <n v="0"/>
    <n v="0"/>
  </r>
  <r>
    <x v="122"/>
    <x v="2"/>
    <n v="11"/>
    <n v="10"/>
    <n v="8"/>
    <n v="2"/>
    <n v="0"/>
  </r>
  <r>
    <x v="122"/>
    <x v="3"/>
    <n v="33"/>
    <n v="32"/>
    <n v="30"/>
    <n v="2"/>
    <n v="0"/>
  </r>
  <r>
    <x v="122"/>
    <x v="3"/>
    <n v="21"/>
    <n v="21"/>
    <n v="19"/>
    <n v="2"/>
    <n v="0"/>
  </r>
  <r>
    <x v="122"/>
    <x v="4"/>
    <n v="50"/>
    <n v="47"/>
    <n v="36"/>
    <n v="11"/>
    <n v="0"/>
  </r>
  <r>
    <x v="122"/>
    <x v="4"/>
    <n v="32"/>
    <n v="32"/>
    <n v="29"/>
    <n v="3"/>
    <n v="0"/>
  </r>
  <r>
    <x v="122"/>
    <x v="5"/>
    <n v="48"/>
    <n v="48"/>
    <n v="36"/>
    <n v="12"/>
    <n v="0"/>
  </r>
  <r>
    <x v="122"/>
    <x v="5"/>
    <n v="47"/>
    <n v="45"/>
    <n v="43"/>
    <n v="2"/>
    <n v="0"/>
  </r>
  <r>
    <x v="122"/>
    <x v="6"/>
    <n v="8"/>
    <n v="8"/>
    <n v="8"/>
    <n v="0"/>
    <n v="0"/>
  </r>
  <r>
    <x v="122"/>
    <x v="6"/>
    <n v="10"/>
    <n v="10"/>
    <n v="10"/>
    <n v="0"/>
    <n v="0"/>
  </r>
  <r>
    <x v="122"/>
    <x v="7"/>
    <n v="1"/>
    <n v="1"/>
    <n v="1"/>
    <n v="0"/>
    <n v="0"/>
  </r>
  <r>
    <x v="122"/>
    <x v="8"/>
    <n v="14"/>
    <n v="13"/>
    <n v="13"/>
    <n v="0"/>
    <n v="0"/>
  </r>
  <r>
    <x v="122"/>
    <x v="8"/>
    <n v="23"/>
    <n v="23"/>
    <n v="19"/>
    <n v="4"/>
    <n v="0"/>
  </r>
  <r>
    <x v="122"/>
    <x v="9"/>
    <n v="5"/>
    <n v="5"/>
    <n v="5"/>
    <n v="0"/>
    <n v="0"/>
  </r>
  <r>
    <x v="122"/>
    <x v="9"/>
    <n v="1"/>
    <n v="1"/>
    <n v="1"/>
    <n v="0"/>
    <n v="0"/>
  </r>
  <r>
    <x v="122"/>
    <x v="10"/>
    <n v="49"/>
    <n v="48"/>
    <n v="42"/>
    <n v="6"/>
    <n v="0"/>
  </r>
  <r>
    <x v="122"/>
    <x v="10"/>
    <n v="39"/>
    <n v="38"/>
    <n v="30"/>
    <n v="8"/>
    <n v="1"/>
  </r>
  <r>
    <x v="122"/>
    <x v="11"/>
    <n v="4"/>
    <n v="4"/>
    <n v="0"/>
    <n v="4"/>
    <n v="0"/>
  </r>
  <r>
    <x v="122"/>
    <x v="11"/>
    <n v="10"/>
    <n v="10"/>
    <n v="7"/>
    <n v="3"/>
    <n v="0"/>
  </r>
  <r>
    <x v="123"/>
    <x v="0"/>
    <n v="9"/>
    <n v="7"/>
    <n v="3"/>
    <n v="4"/>
    <n v="0"/>
  </r>
  <r>
    <x v="123"/>
    <x v="0"/>
    <n v="4"/>
    <n v="4"/>
    <n v="3"/>
    <n v="1"/>
    <n v="0"/>
  </r>
  <r>
    <x v="123"/>
    <x v="2"/>
    <n v="68"/>
    <n v="68"/>
    <n v="63"/>
    <n v="5"/>
    <n v="0"/>
  </r>
  <r>
    <x v="123"/>
    <x v="2"/>
    <n v="79"/>
    <n v="79"/>
    <n v="78"/>
    <n v="1"/>
    <n v="0"/>
  </r>
  <r>
    <x v="123"/>
    <x v="3"/>
    <n v="58"/>
    <n v="58"/>
    <n v="55"/>
    <n v="3"/>
    <n v="0"/>
  </r>
  <r>
    <x v="123"/>
    <x v="3"/>
    <n v="71"/>
    <n v="71"/>
    <n v="68"/>
    <n v="3"/>
    <n v="0"/>
  </r>
  <r>
    <x v="123"/>
    <x v="4"/>
    <n v="60"/>
    <n v="55"/>
    <n v="54"/>
    <n v="1"/>
    <n v="0"/>
  </r>
  <r>
    <x v="123"/>
    <x v="4"/>
    <n v="52"/>
    <n v="49"/>
    <n v="44"/>
    <n v="5"/>
    <n v="0"/>
  </r>
  <r>
    <x v="123"/>
    <x v="5"/>
    <n v="36"/>
    <n v="36"/>
    <n v="27"/>
    <n v="9"/>
    <n v="0"/>
  </r>
  <r>
    <x v="123"/>
    <x v="5"/>
    <n v="38"/>
    <n v="38"/>
    <n v="31"/>
    <n v="7"/>
    <n v="0"/>
  </r>
  <r>
    <x v="123"/>
    <x v="6"/>
    <n v="56"/>
    <n v="56"/>
    <n v="56"/>
    <n v="0"/>
    <n v="0"/>
  </r>
  <r>
    <x v="123"/>
    <x v="6"/>
    <n v="45"/>
    <n v="44"/>
    <n v="44"/>
    <n v="0"/>
    <n v="0"/>
  </r>
  <r>
    <x v="123"/>
    <x v="7"/>
    <n v="18"/>
    <n v="18"/>
    <n v="18"/>
    <n v="0"/>
    <n v="0"/>
  </r>
  <r>
    <x v="123"/>
    <x v="7"/>
    <n v="5"/>
    <n v="3"/>
    <n v="2"/>
    <n v="1"/>
    <n v="0"/>
  </r>
  <r>
    <x v="123"/>
    <x v="8"/>
    <n v="28"/>
    <n v="28"/>
    <n v="27"/>
    <n v="1"/>
    <n v="0"/>
  </r>
  <r>
    <x v="123"/>
    <x v="8"/>
    <n v="23"/>
    <n v="22"/>
    <n v="20"/>
    <n v="2"/>
    <n v="0"/>
  </r>
  <r>
    <x v="123"/>
    <x v="9"/>
    <n v="18"/>
    <n v="17"/>
    <n v="17"/>
    <n v="0"/>
    <n v="0"/>
  </r>
  <r>
    <x v="123"/>
    <x v="9"/>
    <n v="17"/>
    <n v="17"/>
    <n v="15"/>
    <n v="2"/>
    <n v="0"/>
  </r>
  <r>
    <x v="123"/>
    <x v="10"/>
    <n v="44"/>
    <n v="44"/>
    <n v="41"/>
    <n v="3"/>
    <n v="0"/>
  </r>
  <r>
    <x v="123"/>
    <x v="10"/>
    <n v="47"/>
    <n v="47"/>
    <n v="45"/>
    <n v="2"/>
    <n v="0"/>
  </r>
  <r>
    <x v="123"/>
    <x v="11"/>
    <n v="76"/>
    <n v="75"/>
    <n v="67"/>
    <n v="8"/>
    <n v="0"/>
  </r>
  <r>
    <x v="123"/>
    <x v="11"/>
    <n v="84"/>
    <n v="83"/>
    <n v="80"/>
    <n v="3"/>
    <n v="0"/>
  </r>
  <r>
    <x v="124"/>
    <x v="0"/>
    <n v="8"/>
    <n v="5"/>
    <n v="4"/>
    <n v="1"/>
    <n v="0"/>
  </r>
  <r>
    <x v="124"/>
    <x v="0"/>
    <n v="5"/>
    <n v="4"/>
    <n v="4"/>
    <n v="0"/>
    <n v="0"/>
  </r>
  <r>
    <x v="124"/>
    <x v="2"/>
    <n v="12"/>
    <n v="11"/>
    <n v="9"/>
    <n v="2"/>
    <n v="0"/>
  </r>
  <r>
    <x v="124"/>
    <x v="2"/>
    <n v="2"/>
    <n v="2"/>
    <n v="1"/>
    <n v="1"/>
    <n v="0"/>
  </r>
  <r>
    <x v="124"/>
    <x v="3"/>
    <n v="22"/>
    <n v="21"/>
    <n v="10"/>
    <n v="11"/>
    <n v="0"/>
  </r>
  <r>
    <x v="124"/>
    <x v="3"/>
    <n v="20"/>
    <n v="20"/>
    <n v="18"/>
    <n v="2"/>
    <n v="0"/>
  </r>
  <r>
    <x v="124"/>
    <x v="4"/>
    <n v="44"/>
    <n v="42"/>
    <n v="41"/>
    <n v="1"/>
    <n v="0"/>
  </r>
  <r>
    <x v="124"/>
    <x v="4"/>
    <n v="30"/>
    <n v="28"/>
    <n v="25"/>
    <n v="3"/>
    <n v="0"/>
  </r>
  <r>
    <x v="124"/>
    <x v="5"/>
    <n v="24"/>
    <n v="24"/>
    <n v="20"/>
    <n v="4"/>
    <n v="0"/>
  </r>
  <r>
    <x v="124"/>
    <x v="5"/>
    <n v="14"/>
    <n v="13"/>
    <n v="11"/>
    <n v="2"/>
    <n v="1"/>
  </r>
  <r>
    <x v="124"/>
    <x v="6"/>
    <n v="4"/>
    <n v="4"/>
    <n v="4"/>
    <n v="0"/>
    <n v="0"/>
  </r>
  <r>
    <x v="124"/>
    <x v="6"/>
    <n v="13"/>
    <n v="12"/>
    <n v="12"/>
    <n v="0"/>
    <n v="1"/>
  </r>
  <r>
    <x v="124"/>
    <x v="7"/>
    <n v="7"/>
    <n v="7"/>
    <n v="6"/>
    <n v="1"/>
    <n v="0"/>
  </r>
  <r>
    <x v="124"/>
    <x v="7"/>
    <n v="4"/>
    <n v="3"/>
    <n v="2"/>
    <n v="1"/>
    <n v="0"/>
  </r>
  <r>
    <x v="124"/>
    <x v="8"/>
    <n v="2"/>
    <n v="2"/>
    <n v="1"/>
    <n v="1"/>
    <n v="0"/>
  </r>
  <r>
    <x v="124"/>
    <x v="8"/>
    <n v="5"/>
    <n v="4"/>
    <n v="2"/>
    <n v="2"/>
    <n v="0"/>
  </r>
  <r>
    <x v="124"/>
    <x v="9"/>
    <n v="2"/>
    <n v="2"/>
    <n v="2"/>
    <n v="0"/>
    <n v="0"/>
  </r>
  <r>
    <x v="124"/>
    <x v="10"/>
    <n v="23"/>
    <n v="23"/>
    <n v="22"/>
    <n v="1"/>
    <n v="0"/>
  </r>
  <r>
    <x v="124"/>
    <x v="10"/>
    <n v="28"/>
    <n v="25"/>
    <n v="18"/>
    <n v="7"/>
    <n v="0"/>
  </r>
  <r>
    <x v="124"/>
    <x v="11"/>
    <n v="7"/>
    <n v="6"/>
    <n v="6"/>
    <n v="0"/>
    <n v="0"/>
  </r>
  <r>
    <x v="125"/>
    <x v="0"/>
    <n v="5"/>
    <n v="2"/>
    <n v="2"/>
    <n v="0"/>
    <n v="0"/>
  </r>
  <r>
    <x v="125"/>
    <x v="12"/>
    <n v="1"/>
    <n v="0"/>
    <n v="0"/>
    <n v="0"/>
    <n v="0"/>
  </r>
  <r>
    <x v="125"/>
    <x v="2"/>
    <n v="21"/>
    <n v="20"/>
    <n v="20"/>
    <n v="0"/>
    <n v="0"/>
  </r>
  <r>
    <x v="125"/>
    <x v="2"/>
    <n v="15"/>
    <n v="15"/>
    <n v="13"/>
    <n v="2"/>
    <n v="0"/>
  </r>
  <r>
    <x v="125"/>
    <x v="3"/>
    <n v="35"/>
    <n v="35"/>
    <n v="35"/>
    <n v="0"/>
    <n v="0"/>
  </r>
  <r>
    <x v="125"/>
    <x v="3"/>
    <n v="24"/>
    <n v="24"/>
    <n v="24"/>
    <n v="0"/>
    <n v="0"/>
  </r>
  <r>
    <x v="125"/>
    <x v="4"/>
    <n v="42"/>
    <n v="41"/>
    <n v="40"/>
    <n v="1"/>
    <n v="0"/>
  </r>
  <r>
    <x v="125"/>
    <x v="4"/>
    <n v="30"/>
    <n v="29"/>
    <n v="29"/>
    <n v="0"/>
    <n v="0"/>
  </r>
  <r>
    <x v="125"/>
    <x v="5"/>
    <n v="28"/>
    <n v="26"/>
    <n v="24"/>
    <n v="2"/>
    <n v="0"/>
  </r>
  <r>
    <x v="125"/>
    <x v="5"/>
    <n v="66"/>
    <n v="66"/>
    <n v="62"/>
    <n v="4"/>
    <n v="0"/>
  </r>
  <r>
    <x v="125"/>
    <x v="6"/>
    <n v="12"/>
    <n v="12"/>
    <n v="11"/>
    <n v="1"/>
    <n v="0"/>
  </r>
  <r>
    <x v="125"/>
    <x v="6"/>
    <n v="5"/>
    <n v="5"/>
    <n v="5"/>
    <n v="0"/>
    <n v="0"/>
  </r>
  <r>
    <x v="125"/>
    <x v="8"/>
    <n v="12"/>
    <n v="12"/>
    <n v="12"/>
    <n v="0"/>
    <n v="0"/>
  </r>
  <r>
    <x v="125"/>
    <x v="8"/>
    <n v="4"/>
    <n v="4"/>
    <n v="4"/>
    <n v="0"/>
    <n v="0"/>
  </r>
  <r>
    <x v="125"/>
    <x v="9"/>
    <n v="11"/>
    <n v="11"/>
    <n v="11"/>
    <n v="0"/>
    <n v="0"/>
  </r>
  <r>
    <x v="125"/>
    <x v="10"/>
    <n v="44"/>
    <n v="44"/>
    <n v="42"/>
    <n v="2"/>
    <n v="0"/>
  </r>
  <r>
    <x v="125"/>
    <x v="10"/>
    <n v="62"/>
    <n v="62"/>
    <n v="62"/>
    <n v="0"/>
    <n v="0"/>
  </r>
  <r>
    <x v="125"/>
    <x v="11"/>
    <n v="13"/>
    <n v="12"/>
    <n v="12"/>
    <n v="0"/>
    <n v="0"/>
  </r>
  <r>
    <x v="125"/>
    <x v="11"/>
    <n v="11"/>
    <n v="7"/>
    <n v="7"/>
    <n v="0"/>
    <n v="0"/>
  </r>
  <r>
    <x v="126"/>
    <x v="0"/>
    <n v="1"/>
    <n v="0"/>
    <n v="0"/>
    <n v="0"/>
    <n v="0"/>
  </r>
  <r>
    <x v="126"/>
    <x v="2"/>
    <n v="1"/>
    <n v="1"/>
    <n v="1"/>
    <n v="0"/>
    <n v="0"/>
  </r>
  <r>
    <x v="126"/>
    <x v="3"/>
    <n v="5"/>
    <n v="5"/>
    <n v="5"/>
    <n v="0"/>
    <n v="0"/>
  </r>
  <r>
    <x v="126"/>
    <x v="3"/>
    <n v="2"/>
    <n v="2"/>
    <n v="1"/>
    <n v="1"/>
    <n v="0"/>
  </r>
  <r>
    <x v="126"/>
    <x v="4"/>
    <n v="10"/>
    <n v="10"/>
    <n v="7"/>
    <n v="3"/>
    <n v="0"/>
  </r>
  <r>
    <x v="126"/>
    <x v="4"/>
    <n v="10"/>
    <n v="10"/>
    <n v="10"/>
    <n v="0"/>
    <n v="0"/>
  </r>
  <r>
    <x v="126"/>
    <x v="5"/>
    <n v="3"/>
    <n v="3"/>
    <n v="3"/>
    <n v="0"/>
    <n v="0"/>
  </r>
  <r>
    <x v="126"/>
    <x v="5"/>
    <n v="3"/>
    <n v="3"/>
    <n v="3"/>
    <n v="0"/>
    <n v="0"/>
  </r>
  <r>
    <x v="126"/>
    <x v="6"/>
    <n v="1"/>
    <n v="1"/>
    <n v="1"/>
    <n v="0"/>
    <n v="0"/>
  </r>
  <r>
    <x v="126"/>
    <x v="10"/>
    <n v="4"/>
    <n v="4"/>
    <n v="4"/>
    <n v="0"/>
    <n v="0"/>
  </r>
  <r>
    <x v="126"/>
    <x v="10"/>
    <n v="2"/>
    <n v="2"/>
    <n v="2"/>
    <n v="0"/>
    <n v="0"/>
  </r>
  <r>
    <x v="126"/>
    <x v="11"/>
    <n v="1"/>
    <n v="1"/>
    <n v="1"/>
    <n v="0"/>
    <n v="0"/>
  </r>
  <r>
    <x v="127"/>
    <x v="0"/>
    <n v="8"/>
    <n v="7"/>
    <n v="7"/>
    <n v="0"/>
    <n v="0"/>
  </r>
  <r>
    <x v="127"/>
    <x v="0"/>
    <n v="2"/>
    <n v="2"/>
    <n v="2"/>
    <n v="0"/>
    <n v="0"/>
  </r>
  <r>
    <x v="127"/>
    <x v="12"/>
    <n v="2"/>
    <n v="0"/>
    <n v="0"/>
    <n v="0"/>
    <n v="0"/>
  </r>
  <r>
    <x v="127"/>
    <x v="2"/>
    <n v="20"/>
    <n v="20"/>
    <n v="20"/>
    <n v="0"/>
    <n v="0"/>
  </r>
  <r>
    <x v="127"/>
    <x v="2"/>
    <n v="15"/>
    <n v="15"/>
    <n v="10"/>
    <n v="5"/>
    <n v="0"/>
  </r>
  <r>
    <x v="127"/>
    <x v="3"/>
    <n v="32"/>
    <n v="32"/>
    <n v="31"/>
    <n v="1"/>
    <n v="0"/>
  </r>
  <r>
    <x v="127"/>
    <x v="3"/>
    <n v="23"/>
    <n v="23"/>
    <n v="22"/>
    <n v="1"/>
    <n v="0"/>
  </r>
  <r>
    <x v="127"/>
    <x v="4"/>
    <n v="38"/>
    <n v="36"/>
    <n v="34"/>
    <n v="2"/>
    <n v="0"/>
  </r>
  <r>
    <x v="127"/>
    <x v="4"/>
    <n v="27"/>
    <n v="23"/>
    <n v="21"/>
    <n v="2"/>
    <n v="0"/>
  </r>
  <r>
    <x v="127"/>
    <x v="5"/>
    <n v="99"/>
    <n v="98"/>
    <n v="88"/>
    <n v="10"/>
    <n v="0"/>
  </r>
  <r>
    <x v="127"/>
    <x v="5"/>
    <n v="53"/>
    <n v="52"/>
    <n v="43"/>
    <n v="9"/>
    <n v="0"/>
  </r>
  <r>
    <x v="127"/>
    <x v="6"/>
    <n v="25"/>
    <n v="25"/>
    <n v="24"/>
    <n v="1"/>
    <n v="0"/>
  </r>
  <r>
    <x v="127"/>
    <x v="6"/>
    <n v="4"/>
    <n v="4"/>
    <n v="4"/>
    <n v="0"/>
    <n v="0"/>
  </r>
  <r>
    <x v="127"/>
    <x v="7"/>
    <n v="2"/>
    <n v="1"/>
    <n v="0"/>
    <n v="1"/>
    <n v="0"/>
  </r>
  <r>
    <x v="127"/>
    <x v="8"/>
    <n v="18"/>
    <n v="18"/>
    <n v="16"/>
    <n v="2"/>
    <n v="0"/>
  </r>
  <r>
    <x v="127"/>
    <x v="8"/>
    <n v="3"/>
    <n v="3"/>
    <n v="1"/>
    <n v="2"/>
    <n v="0"/>
  </r>
  <r>
    <x v="127"/>
    <x v="9"/>
    <n v="4"/>
    <n v="4"/>
    <n v="4"/>
    <n v="0"/>
    <n v="0"/>
  </r>
  <r>
    <x v="127"/>
    <x v="9"/>
    <n v="1"/>
    <n v="1"/>
    <n v="1"/>
    <n v="0"/>
    <n v="0"/>
  </r>
  <r>
    <x v="127"/>
    <x v="10"/>
    <n v="63"/>
    <n v="63"/>
    <n v="57"/>
    <n v="6"/>
    <n v="0"/>
  </r>
  <r>
    <x v="127"/>
    <x v="10"/>
    <n v="53"/>
    <n v="53"/>
    <n v="42"/>
    <n v="11"/>
    <n v="0"/>
  </r>
  <r>
    <x v="127"/>
    <x v="11"/>
    <n v="15"/>
    <n v="15"/>
    <n v="14"/>
    <n v="1"/>
    <n v="0"/>
  </r>
  <r>
    <x v="127"/>
    <x v="11"/>
    <n v="11"/>
    <n v="10"/>
    <n v="10"/>
    <n v="0"/>
    <n v="0"/>
  </r>
  <r>
    <x v="128"/>
    <x v="16"/>
    <n v="10"/>
    <n v="0"/>
    <n v="0"/>
    <n v="0"/>
    <n v="0"/>
  </r>
  <r>
    <x v="128"/>
    <x v="16"/>
    <n v="2"/>
    <n v="0"/>
    <n v="0"/>
    <n v="0"/>
    <n v="0"/>
  </r>
  <r>
    <x v="128"/>
    <x v="12"/>
    <n v="7"/>
    <n v="0"/>
    <n v="0"/>
    <n v="0"/>
    <n v="0"/>
  </r>
  <r>
    <x v="128"/>
    <x v="2"/>
    <n v="20"/>
    <n v="20"/>
    <n v="19"/>
    <n v="1"/>
    <n v="0"/>
  </r>
  <r>
    <x v="128"/>
    <x v="2"/>
    <n v="11"/>
    <n v="11"/>
    <n v="10"/>
    <n v="1"/>
    <n v="0"/>
  </r>
  <r>
    <x v="128"/>
    <x v="3"/>
    <n v="55"/>
    <n v="55"/>
    <n v="53"/>
    <n v="2"/>
    <n v="0"/>
  </r>
  <r>
    <x v="128"/>
    <x v="3"/>
    <n v="26"/>
    <n v="25"/>
    <n v="22"/>
    <n v="3"/>
    <n v="0"/>
  </r>
  <r>
    <x v="128"/>
    <x v="4"/>
    <n v="80"/>
    <n v="78"/>
    <n v="65"/>
    <n v="13"/>
    <n v="0"/>
  </r>
  <r>
    <x v="128"/>
    <x v="4"/>
    <n v="45"/>
    <n v="44"/>
    <n v="40"/>
    <n v="4"/>
    <n v="0"/>
  </r>
  <r>
    <x v="128"/>
    <x v="5"/>
    <n v="33"/>
    <n v="32"/>
    <n v="30"/>
    <n v="2"/>
    <n v="1"/>
  </r>
  <r>
    <x v="128"/>
    <x v="5"/>
    <n v="9"/>
    <n v="9"/>
    <n v="6"/>
    <n v="3"/>
    <n v="0"/>
  </r>
  <r>
    <x v="128"/>
    <x v="6"/>
    <n v="13"/>
    <n v="13"/>
    <n v="12"/>
    <n v="1"/>
    <n v="0"/>
  </r>
  <r>
    <x v="128"/>
    <x v="6"/>
    <n v="13"/>
    <n v="13"/>
    <n v="13"/>
    <n v="0"/>
    <n v="0"/>
  </r>
  <r>
    <x v="128"/>
    <x v="8"/>
    <n v="1"/>
    <n v="1"/>
    <n v="1"/>
    <n v="0"/>
    <n v="0"/>
  </r>
  <r>
    <x v="128"/>
    <x v="10"/>
    <n v="34"/>
    <n v="34"/>
    <n v="34"/>
    <n v="0"/>
    <n v="0"/>
  </r>
  <r>
    <x v="128"/>
    <x v="10"/>
    <n v="21"/>
    <n v="21"/>
    <n v="18"/>
    <n v="3"/>
    <n v="0"/>
  </r>
  <r>
    <x v="128"/>
    <x v="11"/>
    <n v="20"/>
    <n v="20"/>
    <n v="20"/>
    <n v="0"/>
    <n v="0"/>
  </r>
  <r>
    <x v="128"/>
    <x v="11"/>
    <n v="2"/>
    <n v="0"/>
    <n v="0"/>
    <n v="0"/>
    <n v="0"/>
  </r>
  <r>
    <x v="129"/>
    <x v="0"/>
    <n v="1"/>
    <n v="1"/>
    <n v="0"/>
    <n v="1"/>
    <n v="0"/>
  </r>
  <r>
    <x v="129"/>
    <x v="0"/>
    <n v="1"/>
    <n v="0"/>
    <n v="0"/>
    <n v="0"/>
    <n v="0"/>
  </r>
  <r>
    <x v="129"/>
    <x v="2"/>
    <n v="2"/>
    <n v="2"/>
    <n v="2"/>
    <n v="0"/>
    <n v="0"/>
  </r>
  <r>
    <x v="129"/>
    <x v="2"/>
    <n v="2"/>
    <n v="2"/>
    <n v="2"/>
    <n v="0"/>
    <n v="0"/>
  </r>
  <r>
    <x v="129"/>
    <x v="3"/>
    <n v="16"/>
    <n v="15"/>
    <n v="15"/>
    <n v="0"/>
    <n v="0"/>
  </r>
  <r>
    <x v="129"/>
    <x v="3"/>
    <n v="11"/>
    <n v="11"/>
    <n v="11"/>
    <n v="0"/>
    <n v="0"/>
  </r>
  <r>
    <x v="129"/>
    <x v="4"/>
    <n v="27"/>
    <n v="24"/>
    <n v="22"/>
    <n v="2"/>
    <n v="0"/>
  </r>
  <r>
    <x v="129"/>
    <x v="4"/>
    <n v="15"/>
    <n v="15"/>
    <n v="14"/>
    <n v="1"/>
    <n v="0"/>
  </r>
  <r>
    <x v="129"/>
    <x v="5"/>
    <n v="13"/>
    <n v="13"/>
    <n v="13"/>
    <n v="0"/>
    <n v="0"/>
  </r>
  <r>
    <x v="129"/>
    <x v="5"/>
    <n v="10"/>
    <n v="10"/>
    <n v="9"/>
    <n v="1"/>
    <n v="0"/>
  </r>
  <r>
    <x v="129"/>
    <x v="6"/>
    <n v="13"/>
    <n v="13"/>
    <n v="13"/>
    <n v="0"/>
    <n v="0"/>
  </r>
  <r>
    <x v="129"/>
    <x v="6"/>
    <n v="6"/>
    <n v="6"/>
    <n v="6"/>
    <n v="0"/>
    <n v="0"/>
  </r>
  <r>
    <x v="129"/>
    <x v="8"/>
    <n v="4"/>
    <n v="4"/>
    <n v="4"/>
    <n v="0"/>
    <n v="0"/>
  </r>
  <r>
    <x v="129"/>
    <x v="8"/>
    <n v="3"/>
    <n v="3"/>
    <n v="3"/>
    <n v="0"/>
    <n v="0"/>
  </r>
  <r>
    <x v="129"/>
    <x v="9"/>
    <n v="3"/>
    <n v="3"/>
    <n v="3"/>
    <n v="0"/>
    <n v="0"/>
  </r>
  <r>
    <x v="129"/>
    <x v="9"/>
    <n v="1"/>
    <n v="1"/>
    <n v="1"/>
    <n v="0"/>
    <n v="0"/>
  </r>
  <r>
    <x v="129"/>
    <x v="10"/>
    <n v="18"/>
    <n v="18"/>
    <n v="17"/>
    <n v="1"/>
    <n v="0"/>
  </r>
  <r>
    <x v="129"/>
    <x v="10"/>
    <n v="10"/>
    <n v="10"/>
    <n v="10"/>
    <n v="0"/>
    <n v="0"/>
  </r>
  <r>
    <x v="130"/>
    <x v="0"/>
    <n v="4"/>
    <n v="3"/>
    <n v="2"/>
    <n v="1"/>
    <n v="0"/>
  </r>
  <r>
    <x v="130"/>
    <x v="0"/>
    <n v="5"/>
    <n v="5"/>
    <n v="5"/>
    <n v="0"/>
    <n v="0"/>
  </r>
  <r>
    <x v="130"/>
    <x v="12"/>
    <n v="2"/>
    <n v="0"/>
    <n v="0"/>
    <n v="0"/>
    <n v="0"/>
  </r>
  <r>
    <x v="130"/>
    <x v="2"/>
    <n v="26"/>
    <n v="26"/>
    <n v="25"/>
    <n v="1"/>
    <n v="0"/>
  </r>
  <r>
    <x v="130"/>
    <x v="2"/>
    <n v="15"/>
    <n v="15"/>
    <n v="8"/>
    <n v="7"/>
    <n v="0"/>
  </r>
  <r>
    <x v="130"/>
    <x v="3"/>
    <n v="22"/>
    <n v="22"/>
    <n v="14"/>
    <n v="8"/>
    <n v="0"/>
  </r>
  <r>
    <x v="130"/>
    <x v="3"/>
    <n v="33"/>
    <n v="32"/>
    <n v="28"/>
    <n v="4"/>
    <n v="0"/>
  </r>
  <r>
    <x v="130"/>
    <x v="4"/>
    <n v="79"/>
    <n v="76"/>
    <n v="61"/>
    <n v="15"/>
    <n v="0"/>
  </r>
  <r>
    <x v="130"/>
    <x v="4"/>
    <n v="59"/>
    <n v="59"/>
    <n v="50"/>
    <n v="9"/>
    <n v="0"/>
  </r>
  <r>
    <x v="130"/>
    <x v="5"/>
    <n v="114"/>
    <n v="114"/>
    <n v="82"/>
    <n v="32"/>
    <n v="0"/>
  </r>
  <r>
    <x v="130"/>
    <x v="5"/>
    <n v="91"/>
    <n v="91"/>
    <n v="85"/>
    <n v="6"/>
    <n v="0"/>
  </r>
  <r>
    <x v="130"/>
    <x v="6"/>
    <n v="13"/>
    <n v="13"/>
    <n v="13"/>
    <n v="0"/>
    <n v="0"/>
  </r>
  <r>
    <x v="130"/>
    <x v="6"/>
    <n v="12"/>
    <n v="12"/>
    <n v="12"/>
    <n v="0"/>
    <n v="0"/>
  </r>
  <r>
    <x v="130"/>
    <x v="7"/>
    <n v="1"/>
    <n v="0"/>
    <n v="0"/>
    <n v="0"/>
    <n v="0"/>
  </r>
  <r>
    <x v="130"/>
    <x v="8"/>
    <n v="19"/>
    <n v="19"/>
    <n v="10"/>
    <n v="9"/>
    <n v="0"/>
  </r>
  <r>
    <x v="130"/>
    <x v="8"/>
    <n v="13"/>
    <n v="13"/>
    <n v="7"/>
    <n v="6"/>
    <n v="0"/>
  </r>
  <r>
    <x v="130"/>
    <x v="9"/>
    <n v="5"/>
    <n v="5"/>
    <n v="5"/>
    <n v="0"/>
    <n v="0"/>
  </r>
  <r>
    <x v="130"/>
    <x v="9"/>
    <n v="4"/>
    <n v="4"/>
    <n v="3"/>
    <n v="1"/>
    <n v="0"/>
  </r>
  <r>
    <x v="130"/>
    <x v="10"/>
    <n v="74"/>
    <n v="74"/>
    <n v="63"/>
    <n v="11"/>
    <n v="0"/>
  </r>
  <r>
    <x v="130"/>
    <x v="10"/>
    <n v="49"/>
    <n v="49"/>
    <n v="41"/>
    <n v="8"/>
    <n v="0"/>
  </r>
  <r>
    <x v="130"/>
    <x v="11"/>
    <n v="28"/>
    <n v="27"/>
    <n v="27"/>
    <n v="0"/>
    <n v="0"/>
  </r>
  <r>
    <x v="130"/>
    <x v="11"/>
    <n v="4"/>
    <n v="4"/>
    <n v="4"/>
    <n v="0"/>
    <n v="0"/>
  </r>
  <r>
    <x v="131"/>
    <x v="0"/>
    <n v="3"/>
    <n v="2"/>
    <n v="2"/>
    <n v="0"/>
    <n v="0"/>
  </r>
  <r>
    <x v="131"/>
    <x v="12"/>
    <n v="1"/>
    <n v="0"/>
    <n v="0"/>
    <n v="0"/>
    <n v="0"/>
  </r>
  <r>
    <x v="131"/>
    <x v="2"/>
    <n v="15"/>
    <n v="15"/>
    <n v="15"/>
    <n v="0"/>
    <n v="0"/>
  </r>
  <r>
    <x v="131"/>
    <x v="2"/>
    <n v="26"/>
    <n v="26"/>
    <n v="25"/>
    <n v="1"/>
    <n v="0"/>
  </r>
  <r>
    <x v="131"/>
    <x v="3"/>
    <n v="74"/>
    <n v="74"/>
    <n v="73"/>
    <n v="1"/>
    <n v="0"/>
  </r>
  <r>
    <x v="131"/>
    <x v="3"/>
    <n v="45"/>
    <n v="44"/>
    <n v="43"/>
    <n v="1"/>
    <n v="1"/>
  </r>
  <r>
    <x v="131"/>
    <x v="4"/>
    <n v="110"/>
    <n v="107"/>
    <n v="93"/>
    <n v="14"/>
    <n v="0"/>
  </r>
  <r>
    <x v="131"/>
    <x v="4"/>
    <n v="66"/>
    <n v="64"/>
    <n v="54"/>
    <n v="10"/>
    <n v="0"/>
  </r>
  <r>
    <x v="131"/>
    <x v="5"/>
    <n v="43"/>
    <n v="43"/>
    <n v="43"/>
    <n v="0"/>
    <n v="0"/>
  </r>
  <r>
    <x v="131"/>
    <x v="5"/>
    <n v="14"/>
    <n v="12"/>
    <n v="12"/>
    <n v="0"/>
    <n v="0"/>
  </r>
  <r>
    <x v="131"/>
    <x v="6"/>
    <n v="32"/>
    <n v="32"/>
    <n v="32"/>
    <n v="0"/>
    <n v="0"/>
  </r>
  <r>
    <x v="131"/>
    <x v="6"/>
    <n v="24"/>
    <n v="24"/>
    <n v="24"/>
    <n v="0"/>
    <n v="0"/>
  </r>
  <r>
    <x v="131"/>
    <x v="7"/>
    <n v="36"/>
    <n v="27"/>
    <n v="26"/>
    <n v="1"/>
    <n v="0"/>
  </r>
  <r>
    <x v="131"/>
    <x v="7"/>
    <n v="5"/>
    <n v="5"/>
    <n v="4"/>
    <n v="1"/>
    <n v="0"/>
  </r>
  <r>
    <x v="131"/>
    <x v="8"/>
    <n v="26"/>
    <n v="26"/>
    <n v="25"/>
    <n v="1"/>
    <n v="0"/>
  </r>
  <r>
    <x v="131"/>
    <x v="8"/>
    <n v="19"/>
    <n v="19"/>
    <n v="16"/>
    <n v="3"/>
    <n v="0"/>
  </r>
  <r>
    <x v="131"/>
    <x v="9"/>
    <n v="8"/>
    <n v="8"/>
    <n v="8"/>
    <n v="0"/>
    <n v="0"/>
  </r>
  <r>
    <x v="131"/>
    <x v="9"/>
    <n v="4"/>
    <n v="4"/>
    <n v="4"/>
    <n v="0"/>
    <n v="0"/>
  </r>
  <r>
    <x v="131"/>
    <x v="10"/>
    <n v="52"/>
    <n v="52"/>
    <n v="52"/>
    <n v="0"/>
    <n v="0"/>
  </r>
  <r>
    <x v="131"/>
    <x v="10"/>
    <n v="45"/>
    <n v="45"/>
    <n v="40"/>
    <n v="5"/>
    <n v="0"/>
  </r>
  <r>
    <x v="131"/>
    <x v="11"/>
    <n v="8"/>
    <n v="8"/>
    <n v="8"/>
    <n v="0"/>
    <n v="0"/>
  </r>
  <r>
    <x v="131"/>
    <x v="11"/>
    <n v="25"/>
    <n v="19"/>
    <n v="19"/>
    <n v="0"/>
    <n v="0"/>
  </r>
  <r>
    <x v="132"/>
    <x v="3"/>
    <n v="6"/>
    <n v="5"/>
    <n v="4"/>
    <n v="1"/>
    <n v="0"/>
  </r>
  <r>
    <x v="132"/>
    <x v="4"/>
    <n v="16"/>
    <n v="16"/>
    <n v="11"/>
    <n v="5"/>
    <n v="0"/>
  </r>
  <r>
    <x v="132"/>
    <x v="4"/>
    <n v="3"/>
    <n v="2"/>
    <n v="1"/>
    <n v="1"/>
    <n v="0"/>
  </r>
  <r>
    <x v="132"/>
    <x v="5"/>
    <n v="4"/>
    <n v="3"/>
    <n v="3"/>
    <n v="0"/>
    <n v="1"/>
  </r>
  <r>
    <x v="132"/>
    <x v="5"/>
    <n v="2"/>
    <n v="2"/>
    <n v="2"/>
    <n v="0"/>
    <n v="0"/>
  </r>
  <r>
    <x v="132"/>
    <x v="6"/>
    <n v="3"/>
    <n v="3"/>
    <n v="3"/>
    <n v="0"/>
    <n v="0"/>
  </r>
  <r>
    <x v="132"/>
    <x v="8"/>
    <n v="1"/>
    <n v="1"/>
    <n v="1"/>
    <n v="0"/>
    <n v="0"/>
  </r>
  <r>
    <x v="132"/>
    <x v="8"/>
    <n v="1"/>
    <n v="1"/>
    <n v="1"/>
    <n v="0"/>
    <n v="0"/>
  </r>
  <r>
    <x v="132"/>
    <x v="9"/>
    <n v="1"/>
    <n v="1"/>
    <n v="1"/>
    <n v="0"/>
    <n v="0"/>
  </r>
  <r>
    <x v="132"/>
    <x v="10"/>
    <n v="13"/>
    <n v="13"/>
    <n v="13"/>
    <n v="0"/>
    <n v="0"/>
  </r>
  <r>
    <x v="133"/>
    <x v="0"/>
    <n v="17"/>
    <n v="17"/>
    <n v="17"/>
    <n v="0"/>
    <n v="0"/>
  </r>
  <r>
    <x v="133"/>
    <x v="0"/>
    <n v="11"/>
    <n v="11"/>
    <n v="7"/>
    <n v="4"/>
    <n v="0"/>
  </r>
  <r>
    <x v="133"/>
    <x v="12"/>
    <n v="2"/>
    <n v="0"/>
    <n v="0"/>
    <n v="0"/>
    <n v="0"/>
  </r>
  <r>
    <x v="133"/>
    <x v="12"/>
    <n v="1"/>
    <n v="0"/>
    <n v="0"/>
    <n v="0"/>
    <n v="0"/>
  </r>
  <r>
    <x v="133"/>
    <x v="2"/>
    <n v="39"/>
    <n v="33"/>
    <n v="31"/>
    <n v="2"/>
    <n v="0"/>
  </r>
  <r>
    <x v="133"/>
    <x v="2"/>
    <n v="30"/>
    <n v="30"/>
    <n v="25"/>
    <n v="5"/>
    <n v="0"/>
  </r>
  <r>
    <x v="133"/>
    <x v="3"/>
    <n v="168"/>
    <n v="151"/>
    <n v="130"/>
    <n v="21"/>
    <n v="5"/>
  </r>
  <r>
    <x v="133"/>
    <x v="3"/>
    <n v="96"/>
    <n v="87"/>
    <n v="73"/>
    <n v="14"/>
    <n v="0"/>
  </r>
  <r>
    <x v="133"/>
    <x v="4"/>
    <n v="200"/>
    <n v="168"/>
    <n v="141"/>
    <n v="27"/>
    <n v="6"/>
  </r>
  <r>
    <x v="133"/>
    <x v="4"/>
    <n v="129"/>
    <n v="107"/>
    <n v="96"/>
    <n v="11"/>
    <n v="7"/>
  </r>
  <r>
    <x v="133"/>
    <x v="13"/>
    <n v="2"/>
    <n v="2"/>
    <n v="1"/>
    <n v="1"/>
    <n v="0"/>
  </r>
  <r>
    <x v="133"/>
    <x v="13"/>
    <n v="1"/>
    <n v="1"/>
    <n v="1"/>
    <n v="0"/>
    <n v="0"/>
  </r>
  <r>
    <x v="133"/>
    <x v="5"/>
    <n v="63"/>
    <n v="51"/>
    <n v="40"/>
    <n v="11"/>
    <n v="3"/>
  </r>
  <r>
    <x v="133"/>
    <x v="5"/>
    <n v="47"/>
    <n v="44"/>
    <n v="44"/>
    <n v="0"/>
    <n v="1"/>
  </r>
  <r>
    <x v="133"/>
    <x v="6"/>
    <n v="157"/>
    <n v="155"/>
    <n v="153"/>
    <n v="2"/>
    <n v="0"/>
  </r>
  <r>
    <x v="133"/>
    <x v="6"/>
    <n v="73"/>
    <n v="71"/>
    <n v="71"/>
    <n v="0"/>
    <n v="0"/>
  </r>
  <r>
    <x v="133"/>
    <x v="7"/>
    <n v="42"/>
    <n v="14"/>
    <n v="6"/>
    <n v="8"/>
    <n v="0"/>
  </r>
  <r>
    <x v="133"/>
    <x v="7"/>
    <n v="1"/>
    <n v="1"/>
    <n v="1"/>
    <n v="0"/>
    <n v="0"/>
  </r>
  <r>
    <x v="133"/>
    <x v="8"/>
    <n v="81"/>
    <n v="74"/>
    <n v="66"/>
    <n v="8"/>
    <n v="0"/>
  </r>
  <r>
    <x v="133"/>
    <x v="8"/>
    <n v="43"/>
    <n v="40"/>
    <n v="27"/>
    <n v="13"/>
    <n v="0"/>
  </r>
  <r>
    <x v="133"/>
    <x v="9"/>
    <n v="32"/>
    <n v="32"/>
    <n v="32"/>
    <n v="0"/>
    <n v="0"/>
  </r>
  <r>
    <x v="133"/>
    <x v="9"/>
    <n v="16"/>
    <n v="16"/>
    <n v="12"/>
    <n v="4"/>
    <n v="0"/>
  </r>
  <r>
    <x v="133"/>
    <x v="10"/>
    <n v="175"/>
    <n v="172"/>
    <n v="142"/>
    <n v="30"/>
    <n v="2"/>
  </r>
  <r>
    <x v="133"/>
    <x v="10"/>
    <n v="126"/>
    <n v="125"/>
    <n v="95"/>
    <n v="30"/>
    <n v="1"/>
  </r>
  <r>
    <x v="133"/>
    <x v="11"/>
    <n v="30"/>
    <n v="25"/>
    <n v="22"/>
    <n v="3"/>
    <n v="0"/>
  </r>
  <r>
    <x v="133"/>
    <x v="11"/>
    <n v="27"/>
    <n v="24"/>
    <n v="24"/>
    <n v="0"/>
    <n v="0"/>
  </r>
  <r>
    <x v="134"/>
    <x v="0"/>
    <n v="2"/>
    <n v="1"/>
    <n v="0"/>
    <n v="1"/>
    <n v="0"/>
  </r>
  <r>
    <x v="134"/>
    <x v="15"/>
    <n v="1"/>
    <n v="0"/>
    <n v="0"/>
    <n v="0"/>
    <n v="0"/>
  </r>
  <r>
    <x v="134"/>
    <x v="2"/>
    <n v="7"/>
    <n v="7"/>
    <n v="5"/>
    <n v="2"/>
    <n v="0"/>
  </r>
  <r>
    <x v="134"/>
    <x v="2"/>
    <n v="5"/>
    <n v="5"/>
    <n v="2"/>
    <n v="3"/>
    <n v="0"/>
  </r>
  <r>
    <x v="134"/>
    <x v="3"/>
    <n v="4"/>
    <n v="4"/>
    <n v="4"/>
    <n v="0"/>
    <n v="0"/>
  </r>
  <r>
    <x v="134"/>
    <x v="3"/>
    <n v="1"/>
    <n v="1"/>
    <n v="1"/>
    <n v="0"/>
    <n v="0"/>
  </r>
  <r>
    <x v="134"/>
    <x v="4"/>
    <n v="8"/>
    <n v="8"/>
    <n v="6"/>
    <n v="2"/>
    <n v="0"/>
  </r>
  <r>
    <x v="134"/>
    <x v="4"/>
    <n v="6"/>
    <n v="6"/>
    <n v="5"/>
    <n v="1"/>
    <n v="0"/>
  </r>
  <r>
    <x v="134"/>
    <x v="5"/>
    <n v="21"/>
    <n v="21"/>
    <n v="17"/>
    <n v="4"/>
    <n v="0"/>
  </r>
  <r>
    <x v="134"/>
    <x v="5"/>
    <n v="14"/>
    <n v="14"/>
    <n v="13"/>
    <n v="1"/>
    <n v="0"/>
  </r>
  <r>
    <x v="134"/>
    <x v="8"/>
    <n v="8"/>
    <n v="8"/>
    <n v="6"/>
    <n v="2"/>
    <n v="0"/>
  </r>
  <r>
    <x v="134"/>
    <x v="8"/>
    <n v="1"/>
    <n v="1"/>
    <n v="1"/>
    <n v="0"/>
    <n v="0"/>
  </r>
  <r>
    <x v="134"/>
    <x v="9"/>
    <n v="5"/>
    <n v="5"/>
    <n v="5"/>
    <n v="0"/>
    <n v="0"/>
  </r>
  <r>
    <x v="134"/>
    <x v="9"/>
    <n v="3"/>
    <n v="3"/>
    <n v="2"/>
    <n v="1"/>
    <n v="0"/>
  </r>
  <r>
    <x v="134"/>
    <x v="10"/>
    <n v="29"/>
    <n v="29"/>
    <n v="24"/>
    <n v="5"/>
    <n v="0"/>
  </r>
  <r>
    <x v="134"/>
    <x v="10"/>
    <n v="12"/>
    <n v="12"/>
    <n v="12"/>
    <n v="0"/>
    <n v="0"/>
  </r>
  <r>
    <x v="134"/>
    <x v="11"/>
    <n v="5"/>
    <n v="5"/>
    <n v="5"/>
    <n v="0"/>
    <n v="0"/>
  </r>
  <r>
    <x v="134"/>
    <x v="11"/>
    <n v="1"/>
    <n v="1"/>
    <n v="1"/>
    <n v="0"/>
    <n v="0"/>
  </r>
  <r>
    <x v="135"/>
    <x v="0"/>
    <n v="4"/>
    <n v="4"/>
    <n v="4"/>
    <n v="0"/>
    <n v="0"/>
  </r>
  <r>
    <x v="135"/>
    <x v="0"/>
    <n v="5"/>
    <n v="5"/>
    <n v="5"/>
    <n v="0"/>
    <n v="0"/>
  </r>
  <r>
    <x v="135"/>
    <x v="2"/>
    <n v="49"/>
    <n v="49"/>
    <n v="44"/>
    <n v="5"/>
    <n v="0"/>
  </r>
  <r>
    <x v="135"/>
    <x v="2"/>
    <n v="47"/>
    <n v="46"/>
    <n v="45"/>
    <n v="1"/>
    <n v="0"/>
  </r>
  <r>
    <x v="135"/>
    <x v="3"/>
    <n v="39"/>
    <n v="38"/>
    <n v="28"/>
    <n v="10"/>
    <n v="0"/>
  </r>
  <r>
    <x v="135"/>
    <x v="3"/>
    <n v="37"/>
    <n v="36"/>
    <n v="35"/>
    <n v="1"/>
    <n v="1"/>
  </r>
  <r>
    <x v="135"/>
    <x v="4"/>
    <n v="47"/>
    <n v="42"/>
    <n v="35"/>
    <n v="7"/>
    <n v="0"/>
  </r>
  <r>
    <x v="135"/>
    <x v="4"/>
    <n v="45"/>
    <n v="43"/>
    <n v="39"/>
    <n v="4"/>
    <n v="0"/>
  </r>
  <r>
    <x v="135"/>
    <x v="5"/>
    <n v="53"/>
    <n v="53"/>
    <n v="51"/>
    <n v="2"/>
    <n v="0"/>
  </r>
  <r>
    <x v="135"/>
    <x v="5"/>
    <n v="36"/>
    <n v="36"/>
    <n v="36"/>
    <n v="0"/>
    <n v="0"/>
  </r>
  <r>
    <x v="135"/>
    <x v="6"/>
    <n v="9"/>
    <n v="9"/>
    <n v="9"/>
    <n v="0"/>
    <n v="0"/>
  </r>
  <r>
    <x v="135"/>
    <x v="6"/>
    <n v="5"/>
    <n v="5"/>
    <n v="5"/>
    <n v="0"/>
    <n v="0"/>
  </r>
  <r>
    <x v="135"/>
    <x v="7"/>
    <n v="14"/>
    <n v="13"/>
    <n v="13"/>
    <n v="0"/>
    <n v="0"/>
  </r>
  <r>
    <x v="135"/>
    <x v="7"/>
    <n v="22"/>
    <n v="22"/>
    <n v="19"/>
    <n v="3"/>
    <n v="0"/>
  </r>
  <r>
    <x v="135"/>
    <x v="8"/>
    <n v="21"/>
    <n v="21"/>
    <n v="16"/>
    <n v="5"/>
    <n v="0"/>
  </r>
  <r>
    <x v="135"/>
    <x v="8"/>
    <n v="6"/>
    <n v="6"/>
    <n v="6"/>
    <n v="0"/>
    <n v="0"/>
  </r>
  <r>
    <x v="135"/>
    <x v="9"/>
    <n v="7"/>
    <n v="7"/>
    <n v="7"/>
    <n v="0"/>
    <n v="0"/>
  </r>
  <r>
    <x v="135"/>
    <x v="9"/>
    <n v="1"/>
    <n v="0"/>
    <n v="0"/>
    <n v="0"/>
    <n v="0"/>
  </r>
  <r>
    <x v="135"/>
    <x v="10"/>
    <n v="52"/>
    <n v="52"/>
    <n v="49"/>
    <n v="3"/>
    <n v="0"/>
  </r>
  <r>
    <x v="135"/>
    <x v="10"/>
    <n v="57"/>
    <n v="57"/>
    <n v="49"/>
    <n v="8"/>
    <n v="0"/>
  </r>
  <r>
    <x v="135"/>
    <x v="11"/>
    <n v="48"/>
    <n v="48"/>
    <n v="48"/>
    <n v="0"/>
    <n v="0"/>
  </r>
  <r>
    <x v="135"/>
    <x v="11"/>
    <n v="34"/>
    <n v="34"/>
    <n v="34"/>
    <n v="0"/>
    <n v="0"/>
  </r>
</pivotCacheRecords>
</file>

<file path=xl/pivotCache/pivotCacheRecords4.xml><?xml version="1.0" encoding="utf-8"?>
<pivotCacheRecords xmlns="http://schemas.openxmlformats.org/spreadsheetml/2006/main" xmlns:r="http://schemas.openxmlformats.org/officeDocument/2006/relationships" count="969">
  <r>
    <x v="0"/>
    <x v="0"/>
    <n v="1"/>
    <n v="1"/>
    <n v="1"/>
    <n v="0"/>
    <n v="0"/>
  </r>
  <r>
    <x v="0"/>
    <x v="1"/>
    <n v="1"/>
    <n v="1"/>
    <n v="1"/>
    <n v="0"/>
    <n v="0"/>
  </r>
  <r>
    <x v="0"/>
    <x v="2"/>
    <n v="11"/>
    <n v="11"/>
    <n v="9"/>
    <n v="2"/>
    <n v="0"/>
  </r>
  <r>
    <x v="0"/>
    <x v="3"/>
    <n v="7"/>
    <n v="7"/>
    <n v="7"/>
    <n v="0"/>
    <n v="0"/>
  </r>
  <r>
    <x v="0"/>
    <x v="4"/>
    <n v="2"/>
    <n v="2"/>
    <n v="2"/>
    <n v="0"/>
    <n v="0"/>
  </r>
  <r>
    <x v="1"/>
    <x v="0"/>
    <n v="1"/>
    <n v="1"/>
    <n v="1"/>
    <n v="0"/>
    <n v="0"/>
  </r>
  <r>
    <x v="1"/>
    <x v="1"/>
    <n v="23"/>
    <n v="22"/>
    <n v="12"/>
    <n v="10"/>
    <n v="0"/>
  </r>
  <r>
    <x v="1"/>
    <x v="2"/>
    <n v="22"/>
    <n v="21"/>
    <n v="12"/>
    <n v="9"/>
    <n v="0"/>
  </r>
  <r>
    <x v="1"/>
    <x v="4"/>
    <n v="27"/>
    <n v="25"/>
    <n v="14"/>
    <n v="11"/>
    <n v="0"/>
  </r>
  <r>
    <x v="2"/>
    <x v="1"/>
    <n v="13"/>
    <n v="13"/>
    <n v="12"/>
    <n v="1"/>
    <n v="0"/>
  </r>
  <r>
    <x v="2"/>
    <x v="2"/>
    <n v="10"/>
    <n v="10"/>
    <n v="6"/>
    <n v="4"/>
    <n v="0"/>
  </r>
  <r>
    <x v="2"/>
    <x v="3"/>
    <n v="1"/>
    <n v="1"/>
    <n v="0"/>
    <n v="1"/>
    <n v="0"/>
  </r>
  <r>
    <x v="2"/>
    <x v="4"/>
    <n v="31"/>
    <n v="31"/>
    <n v="27"/>
    <n v="4"/>
    <n v="0"/>
  </r>
  <r>
    <x v="3"/>
    <x v="1"/>
    <n v="10"/>
    <n v="10"/>
    <n v="9"/>
    <n v="1"/>
    <n v="0"/>
  </r>
  <r>
    <x v="3"/>
    <x v="2"/>
    <n v="29"/>
    <n v="29"/>
    <n v="20"/>
    <n v="9"/>
    <n v="0"/>
  </r>
  <r>
    <x v="3"/>
    <x v="3"/>
    <n v="43"/>
    <n v="42"/>
    <n v="25"/>
    <n v="17"/>
    <n v="0"/>
  </r>
  <r>
    <x v="3"/>
    <x v="4"/>
    <n v="7"/>
    <n v="7"/>
    <n v="3"/>
    <n v="4"/>
    <n v="0"/>
  </r>
  <r>
    <x v="4"/>
    <x v="1"/>
    <n v="21"/>
    <n v="21"/>
    <n v="17"/>
    <n v="4"/>
    <n v="0"/>
  </r>
  <r>
    <x v="4"/>
    <x v="2"/>
    <n v="18"/>
    <n v="18"/>
    <n v="15"/>
    <n v="3"/>
    <n v="0"/>
  </r>
  <r>
    <x v="4"/>
    <x v="3"/>
    <n v="1"/>
    <n v="1"/>
    <n v="0"/>
    <n v="1"/>
    <n v="0"/>
  </r>
  <r>
    <x v="4"/>
    <x v="4"/>
    <n v="17"/>
    <n v="17"/>
    <n v="15"/>
    <n v="2"/>
    <n v="0"/>
  </r>
  <r>
    <x v="5"/>
    <x v="1"/>
    <n v="30"/>
    <n v="28"/>
    <n v="18"/>
    <n v="10"/>
    <n v="1"/>
  </r>
  <r>
    <x v="5"/>
    <x v="2"/>
    <n v="52"/>
    <n v="51"/>
    <n v="26"/>
    <n v="25"/>
    <n v="0"/>
  </r>
  <r>
    <x v="5"/>
    <x v="3"/>
    <n v="1"/>
    <n v="1"/>
    <n v="0"/>
    <n v="1"/>
    <n v="0"/>
  </r>
  <r>
    <x v="5"/>
    <x v="4"/>
    <n v="34"/>
    <n v="34"/>
    <n v="21"/>
    <n v="13"/>
    <n v="0"/>
  </r>
  <r>
    <x v="6"/>
    <x v="1"/>
    <n v="15"/>
    <n v="15"/>
    <n v="15"/>
    <n v="0"/>
    <n v="0"/>
  </r>
  <r>
    <x v="6"/>
    <x v="2"/>
    <n v="15"/>
    <n v="15"/>
    <n v="14"/>
    <n v="1"/>
    <n v="0"/>
  </r>
  <r>
    <x v="6"/>
    <x v="3"/>
    <n v="35"/>
    <n v="35"/>
    <n v="31"/>
    <n v="4"/>
    <n v="0"/>
  </r>
  <r>
    <x v="6"/>
    <x v="5"/>
    <n v="1"/>
    <n v="1"/>
    <n v="1"/>
    <n v="0"/>
    <n v="0"/>
  </r>
  <r>
    <x v="6"/>
    <x v="4"/>
    <n v="16"/>
    <n v="16"/>
    <n v="15"/>
    <n v="1"/>
    <n v="0"/>
  </r>
  <r>
    <x v="7"/>
    <x v="0"/>
    <n v="1"/>
    <n v="1"/>
    <n v="1"/>
    <n v="0"/>
    <n v="0"/>
  </r>
  <r>
    <x v="7"/>
    <x v="1"/>
    <n v="5"/>
    <n v="5"/>
    <n v="4"/>
    <n v="1"/>
    <n v="0"/>
  </r>
  <r>
    <x v="7"/>
    <x v="2"/>
    <n v="8"/>
    <n v="7"/>
    <n v="4"/>
    <n v="3"/>
    <n v="0"/>
  </r>
  <r>
    <x v="7"/>
    <x v="3"/>
    <n v="29"/>
    <n v="24"/>
    <n v="22"/>
    <n v="2"/>
    <n v="0"/>
  </r>
  <r>
    <x v="7"/>
    <x v="4"/>
    <n v="11"/>
    <n v="11"/>
    <n v="10"/>
    <n v="1"/>
    <n v="0"/>
  </r>
  <r>
    <x v="8"/>
    <x v="1"/>
    <n v="3"/>
    <n v="3"/>
    <n v="3"/>
    <n v="0"/>
    <n v="0"/>
  </r>
  <r>
    <x v="8"/>
    <x v="2"/>
    <n v="2"/>
    <n v="2"/>
    <n v="1"/>
    <n v="1"/>
    <n v="0"/>
  </r>
  <r>
    <x v="8"/>
    <x v="3"/>
    <n v="1"/>
    <n v="1"/>
    <n v="0"/>
    <n v="1"/>
    <n v="0"/>
  </r>
  <r>
    <x v="8"/>
    <x v="4"/>
    <n v="29"/>
    <n v="29"/>
    <n v="20"/>
    <n v="9"/>
    <n v="0"/>
  </r>
  <r>
    <x v="9"/>
    <x v="0"/>
    <n v="2"/>
    <n v="2"/>
    <n v="2"/>
    <n v="0"/>
    <n v="0"/>
  </r>
  <r>
    <x v="9"/>
    <x v="1"/>
    <n v="37"/>
    <n v="37"/>
    <n v="33"/>
    <n v="4"/>
    <n v="0"/>
  </r>
  <r>
    <x v="9"/>
    <x v="2"/>
    <n v="54"/>
    <n v="54"/>
    <n v="50"/>
    <n v="4"/>
    <n v="0"/>
  </r>
  <r>
    <x v="9"/>
    <x v="3"/>
    <n v="81"/>
    <n v="78"/>
    <n v="69"/>
    <n v="9"/>
    <n v="0"/>
  </r>
  <r>
    <x v="9"/>
    <x v="5"/>
    <n v="1"/>
    <n v="1"/>
    <n v="1"/>
    <n v="0"/>
    <n v="0"/>
  </r>
  <r>
    <x v="9"/>
    <x v="4"/>
    <n v="29"/>
    <n v="29"/>
    <n v="22"/>
    <n v="7"/>
    <n v="0"/>
  </r>
  <r>
    <x v="10"/>
    <x v="1"/>
    <n v="10"/>
    <n v="10"/>
    <n v="9"/>
    <n v="1"/>
    <n v="0"/>
  </r>
  <r>
    <x v="10"/>
    <x v="2"/>
    <n v="10"/>
    <n v="10"/>
    <n v="4"/>
    <n v="6"/>
    <n v="0"/>
  </r>
  <r>
    <x v="10"/>
    <x v="4"/>
    <n v="14"/>
    <n v="14"/>
    <n v="11"/>
    <n v="3"/>
    <n v="0"/>
  </r>
  <r>
    <x v="11"/>
    <x v="0"/>
    <n v="1"/>
    <n v="1"/>
    <n v="1"/>
    <n v="0"/>
    <n v="0"/>
  </r>
  <r>
    <x v="11"/>
    <x v="1"/>
    <n v="2"/>
    <n v="2"/>
    <n v="2"/>
    <n v="0"/>
    <n v="0"/>
  </r>
  <r>
    <x v="11"/>
    <x v="2"/>
    <n v="3"/>
    <n v="3"/>
    <n v="1"/>
    <n v="2"/>
    <n v="0"/>
  </r>
  <r>
    <x v="11"/>
    <x v="4"/>
    <n v="7"/>
    <n v="7"/>
    <n v="4"/>
    <n v="3"/>
    <n v="0"/>
  </r>
  <r>
    <x v="12"/>
    <x v="0"/>
    <n v="1"/>
    <n v="1"/>
    <n v="1"/>
    <n v="0"/>
    <n v="0"/>
  </r>
  <r>
    <x v="12"/>
    <x v="1"/>
    <n v="17"/>
    <n v="17"/>
    <n v="10"/>
    <n v="7"/>
    <n v="0"/>
  </r>
  <r>
    <x v="12"/>
    <x v="2"/>
    <n v="13"/>
    <n v="13"/>
    <n v="7"/>
    <n v="6"/>
    <n v="0"/>
  </r>
  <r>
    <x v="12"/>
    <x v="4"/>
    <n v="44"/>
    <n v="44"/>
    <n v="33"/>
    <n v="11"/>
    <n v="0"/>
  </r>
  <r>
    <x v="13"/>
    <x v="0"/>
    <n v="1"/>
    <n v="1"/>
    <n v="1"/>
    <n v="0"/>
    <n v="0"/>
  </r>
  <r>
    <x v="13"/>
    <x v="1"/>
    <n v="2"/>
    <n v="2"/>
    <n v="2"/>
    <n v="0"/>
    <n v="0"/>
  </r>
  <r>
    <x v="13"/>
    <x v="2"/>
    <n v="8"/>
    <n v="8"/>
    <n v="8"/>
    <n v="0"/>
    <n v="0"/>
  </r>
  <r>
    <x v="13"/>
    <x v="3"/>
    <n v="10"/>
    <n v="9"/>
    <n v="8"/>
    <n v="1"/>
    <n v="0"/>
  </r>
  <r>
    <x v="13"/>
    <x v="4"/>
    <n v="13"/>
    <n v="13"/>
    <n v="12"/>
    <n v="1"/>
    <n v="0"/>
  </r>
  <r>
    <x v="14"/>
    <x v="0"/>
    <n v="1"/>
    <n v="1"/>
    <n v="1"/>
    <n v="0"/>
    <n v="0"/>
  </r>
  <r>
    <x v="14"/>
    <x v="1"/>
    <n v="21"/>
    <n v="21"/>
    <n v="10"/>
    <n v="11"/>
    <n v="0"/>
  </r>
  <r>
    <x v="14"/>
    <x v="2"/>
    <n v="15"/>
    <n v="15"/>
    <n v="8"/>
    <n v="7"/>
    <n v="0"/>
  </r>
  <r>
    <x v="14"/>
    <x v="4"/>
    <n v="113"/>
    <n v="112"/>
    <n v="54"/>
    <n v="58"/>
    <n v="0"/>
  </r>
  <r>
    <x v="15"/>
    <x v="1"/>
    <n v="9"/>
    <n v="9"/>
    <n v="8"/>
    <n v="1"/>
    <n v="0"/>
  </r>
  <r>
    <x v="15"/>
    <x v="2"/>
    <n v="26"/>
    <n v="26"/>
    <n v="16"/>
    <n v="10"/>
    <n v="0"/>
  </r>
  <r>
    <x v="15"/>
    <x v="3"/>
    <n v="21"/>
    <n v="19"/>
    <n v="16"/>
    <n v="3"/>
    <n v="0"/>
  </r>
  <r>
    <x v="15"/>
    <x v="4"/>
    <n v="26"/>
    <n v="26"/>
    <n v="21"/>
    <n v="5"/>
    <n v="0"/>
  </r>
  <r>
    <x v="16"/>
    <x v="1"/>
    <n v="23"/>
    <n v="21"/>
    <n v="14"/>
    <n v="7"/>
    <n v="0"/>
  </r>
  <r>
    <x v="16"/>
    <x v="2"/>
    <n v="14"/>
    <n v="10"/>
    <n v="6"/>
    <n v="4"/>
    <n v="0"/>
  </r>
  <r>
    <x v="16"/>
    <x v="3"/>
    <n v="1"/>
    <n v="1"/>
    <n v="0"/>
    <n v="1"/>
    <n v="0"/>
  </r>
  <r>
    <x v="16"/>
    <x v="4"/>
    <n v="9"/>
    <n v="7"/>
    <n v="4"/>
    <n v="3"/>
    <n v="0"/>
  </r>
  <r>
    <x v="0"/>
    <x v="3"/>
    <n v="11"/>
    <n v="11"/>
    <n v="7"/>
    <n v="4"/>
    <n v="0"/>
  </r>
  <r>
    <x v="0"/>
    <x v="4"/>
    <n v="3"/>
    <n v="3"/>
    <n v="3"/>
    <n v="0"/>
    <n v="0"/>
  </r>
  <r>
    <x v="0"/>
    <x v="1"/>
    <n v="2"/>
    <n v="2"/>
    <n v="2"/>
    <n v="0"/>
    <n v="0"/>
  </r>
  <r>
    <x v="0"/>
    <x v="2"/>
    <n v="5"/>
    <n v="5"/>
    <n v="5"/>
    <n v="0"/>
    <n v="0"/>
  </r>
  <r>
    <x v="1"/>
    <x v="1"/>
    <n v="20"/>
    <n v="19"/>
    <n v="11"/>
    <n v="8"/>
    <n v="0"/>
  </r>
  <r>
    <x v="1"/>
    <x v="3"/>
    <n v="2"/>
    <n v="2"/>
    <n v="0"/>
    <n v="2"/>
    <n v="0"/>
  </r>
  <r>
    <x v="1"/>
    <x v="4"/>
    <n v="19"/>
    <n v="18"/>
    <n v="13"/>
    <n v="5"/>
    <n v="0"/>
  </r>
  <r>
    <x v="1"/>
    <x v="2"/>
    <n v="23"/>
    <n v="23"/>
    <n v="19"/>
    <n v="4"/>
    <n v="0"/>
  </r>
  <r>
    <x v="2"/>
    <x v="1"/>
    <n v="22"/>
    <n v="20"/>
    <n v="17"/>
    <n v="3"/>
    <n v="0"/>
  </r>
  <r>
    <x v="2"/>
    <x v="2"/>
    <n v="14"/>
    <n v="14"/>
    <n v="4"/>
    <n v="10"/>
    <n v="0"/>
  </r>
  <r>
    <x v="2"/>
    <x v="4"/>
    <n v="56"/>
    <n v="56"/>
    <n v="37"/>
    <n v="19"/>
    <n v="0"/>
  </r>
  <r>
    <x v="3"/>
    <x v="4"/>
    <n v="6"/>
    <n v="5"/>
    <n v="5"/>
    <n v="0"/>
    <n v="0"/>
  </r>
  <r>
    <x v="3"/>
    <x v="3"/>
    <n v="23"/>
    <n v="23"/>
    <n v="21"/>
    <n v="2"/>
    <n v="0"/>
  </r>
  <r>
    <x v="3"/>
    <x v="2"/>
    <n v="14"/>
    <n v="14"/>
    <n v="9"/>
    <n v="5"/>
    <n v="0"/>
  </r>
  <r>
    <x v="3"/>
    <x v="1"/>
    <n v="6"/>
    <n v="5"/>
    <n v="3"/>
    <n v="2"/>
    <n v="1"/>
  </r>
  <r>
    <x v="4"/>
    <x v="1"/>
    <n v="17"/>
    <n v="16"/>
    <n v="9"/>
    <n v="7"/>
    <n v="0"/>
  </r>
  <r>
    <x v="4"/>
    <x v="4"/>
    <n v="19"/>
    <n v="18"/>
    <n v="13"/>
    <n v="5"/>
    <n v="0"/>
  </r>
  <r>
    <x v="4"/>
    <x v="2"/>
    <n v="15"/>
    <n v="15"/>
    <n v="10"/>
    <n v="5"/>
    <n v="0"/>
  </r>
  <r>
    <x v="5"/>
    <x v="1"/>
    <n v="59"/>
    <n v="57"/>
    <n v="26"/>
    <n v="31"/>
    <n v="0"/>
  </r>
  <r>
    <x v="5"/>
    <x v="4"/>
    <n v="31"/>
    <n v="28"/>
    <n v="19"/>
    <n v="9"/>
    <n v="0"/>
  </r>
  <r>
    <x v="5"/>
    <x v="2"/>
    <n v="29"/>
    <n v="27"/>
    <n v="10"/>
    <n v="17"/>
    <n v="0"/>
  </r>
  <r>
    <x v="6"/>
    <x v="1"/>
    <n v="19"/>
    <n v="19"/>
    <n v="19"/>
    <n v="0"/>
    <n v="0"/>
  </r>
  <r>
    <x v="6"/>
    <x v="4"/>
    <n v="6"/>
    <n v="6"/>
    <n v="6"/>
    <n v="0"/>
    <n v="0"/>
  </r>
  <r>
    <x v="6"/>
    <x v="3"/>
    <n v="34"/>
    <n v="34"/>
    <n v="25"/>
    <n v="9"/>
    <n v="0"/>
  </r>
  <r>
    <x v="6"/>
    <x v="2"/>
    <n v="24"/>
    <n v="24"/>
    <n v="18"/>
    <n v="6"/>
    <n v="0"/>
  </r>
  <r>
    <x v="7"/>
    <x v="1"/>
    <n v="11"/>
    <n v="11"/>
    <n v="7"/>
    <n v="4"/>
    <n v="0"/>
  </r>
  <r>
    <x v="7"/>
    <x v="3"/>
    <n v="21"/>
    <n v="21"/>
    <n v="14"/>
    <n v="7"/>
    <n v="0"/>
  </r>
  <r>
    <x v="7"/>
    <x v="4"/>
    <n v="18"/>
    <n v="18"/>
    <n v="13"/>
    <n v="5"/>
    <n v="0"/>
  </r>
  <r>
    <x v="7"/>
    <x v="2"/>
    <n v="8"/>
    <n v="8"/>
    <n v="6"/>
    <n v="2"/>
    <n v="0"/>
  </r>
  <r>
    <x v="8"/>
    <x v="1"/>
    <n v="3"/>
    <n v="3"/>
    <n v="1"/>
    <n v="2"/>
    <n v="0"/>
  </r>
  <r>
    <x v="8"/>
    <x v="2"/>
    <n v="3"/>
    <n v="3"/>
    <n v="2"/>
    <n v="1"/>
    <n v="0"/>
  </r>
  <r>
    <x v="8"/>
    <x v="4"/>
    <n v="28"/>
    <n v="26"/>
    <n v="19"/>
    <n v="7"/>
    <n v="1"/>
  </r>
  <r>
    <x v="9"/>
    <x v="3"/>
    <n v="66"/>
    <n v="65"/>
    <n v="59"/>
    <n v="6"/>
    <n v="1"/>
  </r>
  <r>
    <x v="9"/>
    <x v="2"/>
    <n v="39"/>
    <n v="38"/>
    <n v="36"/>
    <n v="2"/>
    <n v="0"/>
  </r>
  <r>
    <x v="9"/>
    <x v="4"/>
    <n v="31"/>
    <n v="31"/>
    <n v="29"/>
    <n v="2"/>
    <n v="0"/>
  </r>
  <r>
    <x v="9"/>
    <x v="1"/>
    <n v="21"/>
    <n v="20"/>
    <n v="16"/>
    <n v="4"/>
    <n v="0"/>
  </r>
  <r>
    <x v="10"/>
    <x v="2"/>
    <n v="15"/>
    <n v="15"/>
    <n v="8"/>
    <n v="7"/>
    <n v="0"/>
  </r>
  <r>
    <x v="10"/>
    <x v="4"/>
    <n v="10"/>
    <n v="10"/>
    <n v="5"/>
    <n v="5"/>
    <n v="0"/>
  </r>
  <r>
    <x v="10"/>
    <x v="1"/>
    <n v="12"/>
    <n v="12"/>
    <n v="7"/>
    <n v="5"/>
    <n v="0"/>
  </r>
  <r>
    <x v="11"/>
    <x v="4"/>
    <n v="4"/>
    <n v="4"/>
    <n v="3"/>
    <n v="1"/>
    <n v="0"/>
  </r>
  <r>
    <x v="11"/>
    <x v="1"/>
    <n v="5"/>
    <n v="5"/>
    <n v="5"/>
    <n v="0"/>
    <n v="0"/>
  </r>
  <r>
    <x v="11"/>
    <x v="2"/>
    <n v="4"/>
    <n v="4"/>
    <n v="3"/>
    <n v="1"/>
    <n v="0"/>
  </r>
  <r>
    <x v="12"/>
    <x v="3"/>
    <n v="1"/>
    <n v="1"/>
    <n v="0"/>
    <n v="1"/>
    <n v="0"/>
  </r>
  <r>
    <x v="12"/>
    <x v="4"/>
    <n v="34"/>
    <n v="31"/>
    <n v="23"/>
    <n v="8"/>
    <n v="0"/>
  </r>
  <r>
    <x v="12"/>
    <x v="2"/>
    <n v="19"/>
    <n v="18"/>
    <n v="9"/>
    <n v="9"/>
    <n v="0"/>
  </r>
  <r>
    <x v="12"/>
    <x v="1"/>
    <n v="10"/>
    <n v="8"/>
    <n v="5"/>
    <n v="3"/>
    <n v="0"/>
  </r>
  <r>
    <x v="13"/>
    <x v="1"/>
    <n v="2"/>
    <n v="2"/>
    <n v="2"/>
    <n v="0"/>
    <n v="0"/>
  </r>
  <r>
    <x v="13"/>
    <x v="2"/>
    <n v="6"/>
    <n v="6"/>
    <n v="6"/>
    <n v="0"/>
    <n v="0"/>
  </r>
  <r>
    <x v="13"/>
    <x v="3"/>
    <n v="8"/>
    <n v="8"/>
    <n v="7"/>
    <n v="1"/>
    <n v="0"/>
  </r>
  <r>
    <x v="13"/>
    <x v="4"/>
    <n v="1"/>
    <n v="1"/>
    <n v="1"/>
    <n v="0"/>
    <n v="0"/>
  </r>
  <r>
    <x v="14"/>
    <x v="4"/>
    <n v="57"/>
    <n v="53"/>
    <n v="30"/>
    <n v="23"/>
    <n v="0"/>
  </r>
  <r>
    <x v="14"/>
    <x v="2"/>
    <n v="15"/>
    <n v="15"/>
    <n v="4"/>
    <n v="11"/>
    <n v="0"/>
  </r>
  <r>
    <x v="14"/>
    <x v="3"/>
    <n v="1"/>
    <n v="1"/>
    <n v="0"/>
    <n v="1"/>
    <n v="0"/>
  </r>
  <r>
    <x v="14"/>
    <x v="1"/>
    <n v="17"/>
    <n v="17"/>
    <n v="6"/>
    <n v="11"/>
    <n v="0"/>
  </r>
  <r>
    <x v="15"/>
    <x v="3"/>
    <n v="14"/>
    <n v="14"/>
    <n v="11"/>
    <n v="3"/>
    <n v="0"/>
  </r>
  <r>
    <x v="15"/>
    <x v="1"/>
    <n v="10"/>
    <n v="10"/>
    <n v="9"/>
    <n v="1"/>
    <n v="0"/>
  </r>
  <r>
    <x v="15"/>
    <x v="4"/>
    <n v="17"/>
    <n v="16"/>
    <n v="11"/>
    <n v="5"/>
    <n v="1"/>
  </r>
  <r>
    <x v="15"/>
    <x v="2"/>
    <n v="8"/>
    <n v="8"/>
    <n v="6"/>
    <n v="2"/>
    <n v="0"/>
  </r>
  <r>
    <x v="16"/>
    <x v="2"/>
    <n v="6"/>
    <n v="6"/>
    <n v="5"/>
    <n v="1"/>
    <n v="0"/>
  </r>
  <r>
    <x v="16"/>
    <x v="3"/>
    <n v="1"/>
    <n v="0"/>
    <n v="0"/>
    <n v="0"/>
    <n v="1"/>
  </r>
  <r>
    <x v="16"/>
    <x v="1"/>
    <n v="24"/>
    <n v="23"/>
    <n v="12"/>
    <n v="11"/>
    <n v="0"/>
  </r>
  <r>
    <x v="16"/>
    <x v="4"/>
    <n v="4"/>
    <n v="4"/>
    <n v="3"/>
    <n v="1"/>
    <n v="0"/>
  </r>
  <r>
    <x v="17"/>
    <x v="1"/>
    <n v="1"/>
    <n v="1"/>
    <n v="1"/>
    <n v="0"/>
    <n v="0"/>
  </r>
  <r>
    <x v="17"/>
    <x v="4"/>
    <n v="6"/>
    <n v="6"/>
    <n v="5"/>
    <n v="1"/>
    <n v="0"/>
  </r>
  <r>
    <x v="17"/>
    <x v="3"/>
    <n v="3"/>
    <n v="3"/>
    <n v="2"/>
    <n v="1"/>
    <n v="0"/>
  </r>
  <r>
    <x v="18"/>
    <x v="3"/>
    <n v="3"/>
    <n v="3"/>
    <n v="2"/>
    <n v="1"/>
    <n v="0"/>
  </r>
  <r>
    <x v="18"/>
    <x v="4"/>
    <n v="7"/>
    <n v="7"/>
    <n v="7"/>
    <n v="0"/>
    <n v="0"/>
  </r>
  <r>
    <x v="18"/>
    <x v="1"/>
    <n v="2"/>
    <n v="1"/>
    <n v="1"/>
    <n v="0"/>
    <n v="1"/>
  </r>
  <r>
    <x v="19"/>
    <x v="2"/>
    <n v="6"/>
    <n v="6"/>
    <n v="5"/>
    <n v="1"/>
    <n v="0"/>
  </r>
  <r>
    <x v="19"/>
    <x v="4"/>
    <n v="6"/>
    <n v="6"/>
    <n v="5"/>
    <n v="1"/>
    <n v="0"/>
  </r>
  <r>
    <x v="19"/>
    <x v="3"/>
    <n v="2"/>
    <n v="2"/>
    <n v="2"/>
    <n v="0"/>
    <n v="0"/>
  </r>
  <r>
    <x v="19"/>
    <x v="1"/>
    <n v="9"/>
    <n v="9"/>
    <n v="8"/>
    <n v="1"/>
    <n v="0"/>
  </r>
  <r>
    <x v="20"/>
    <x v="0"/>
    <n v="1"/>
    <n v="1"/>
    <n v="0"/>
    <n v="1"/>
    <n v="0"/>
  </r>
  <r>
    <x v="20"/>
    <x v="2"/>
    <n v="4"/>
    <n v="4"/>
    <n v="3"/>
    <n v="1"/>
    <n v="0"/>
  </r>
  <r>
    <x v="20"/>
    <x v="3"/>
    <n v="5"/>
    <n v="5"/>
    <n v="4"/>
    <n v="1"/>
    <n v="0"/>
  </r>
  <r>
    <x v="20"/>
    <x v="4"/>
    <n v="14"/>
    <n v="14"/>
    <n v="11"/>
    <n v="3"/>
    <n v="0"/>
  </r>
  <r>
    <x v="20"/>
    <x v="1"/>
    <n v="8"/>
    <n v="8"/>
    <n v="8"/>
    <n v="0"/>
    <n v="0"/>
  </r>
  <r>
    <x v="21"/>
    <x v="1"/>
    <n v="6"/>
    <n v="6"/>
    <n v="6"/>
    <n v="0"/>
    <n v="0"/>
  </r>
  <r>
    <x v="21"/>
    <x v="4"/>
    <n v="7"/>
    <n v="7"/>
    <n v="7"/>
    <n v="0"/>
    <n v="0"/>
  </r>
  <r>
    <x v="21"/>
    <x v="2"/>
    <n v="5"/>
    <n v="5"/>
    <n v="4"/>
    <n v="1"/>
    <n v="0"/>
  </r>
  <r>
    <x v="21"/>
    <x v="3"/>
    <n v="18"/>
    <n v="18"/>
    <n v="14"/>
    <n v="4"/>
    <n v="0"/>
  </r>
  <r>
    <x v="22"/>
    <x v="1"/>
    <n v="5"/>
    <n v="5"/>
    <n v="3"/>
    <n v="2"/>
    <n v="0"/>
  </r>
  <r>
    <x v="22"/>
    <x v="2"/>
    <n v="7"/>
    <n v="7"/>
    <n v="6"/>
    <n v="1"/>
    <n v="0"/>
  </r>
  <r>
    <x v="22"/>
    <x v="4"/>
    <n v="12"/>
    <n v="12"/>
    <n v="12"/>
    <n v="0"/>
    <n v="0"/>
  </r>
  <r>
    <x v="22"/>
    <x v="3"/>
    <n v="43"/>
    <n v="40"/>
    <n v="31"/>
    <n v="9"/>
    <n v="2"/>
  </r>
  <r>
    <x v="22"/>
    <x v="0"/>
    <n v="2"/>
    <n v="0"/>
    <n v="0"/>
    <n v="0"/>
    <n v="0"/>
  </r>
  <r>
    <x v="23"/>
    <x v="4"/>
    <n v="3"/>
    <n v="3"/>
    <n v="2"/>
    <n v="1"/>
    <n v="0"/>
  </r>
  <r>
    <x v="23"/>
    <x v="3"/>
    <n v="7"/>
    <n v="5"/>
    <n v="5"/>
    <n v="0"/>
    <n v="0"/>
  </r>
  <r>
    <x v="23"/>
    <x v="1"/>
    <n v="3"/>
    <n v="3"/>
    <n v="3"/>
    <n v="0"/>
    <n v="0"/>
  </r>
  <r>
    <x v="24"/>
    <x v="0"/>
    <n v="1"/>
    <n v="1"/>
    <n v="1"/>
    <n v="0"/>
    <n v="0"/>
  </r>
  <r>
    <x v="24"/>
    <x v="2"/>
    <n v="1"/>
    <n v="1"/>
    <n v="1"/>
    <n v="0"/>
    <n v="0"/>
  </r>
  <r>
    <x v="24"/>
    <x v="3"/>
    <n v="5"/>
    <n v="5"/>
    <n v="3"/>
    <n v="2"/>
    <n v="0"/>
  </r>
  <r>
    <x v="24"/>
    <x v="4"/>
    <n v="4"/>
    <n v="4"/>
    <n v="3"/>
    <n v="1"/>
    <n v="0"/>
  </r>
  <r>
    <x v="25"/>
    <x v="3"/>
    <n v="4"/>
    <n v="4"/>
    <n v="4"/>
    <n v="0"/>
    <n v="0"/>
  </r>
  <r>
    <x v="25"/>
    <x v="4"/>
    <n v="1"/>
    <n v="1"/>
    <n v="1"/>
    <n v="0"/>
    <n v="0"/>
  </r>
  <r>
    <x v="25"/>
    <x v="2"/>
    <n v="5"/>
    <n v="4"/>
    <n v="3"/>
    <n v="1"/>
    <n v="0"/>
  </r>
  <r>
    <x v="26"/>
    <x v="3"/>
    <n v="4"/>
    <n v="4"/>
    <n v="3"/>
    <n v="1"/>
    <n v="0"/>
  </r>
  <r>
    <x v="26"/>
    <x v="0"/>
    <n v="1"/>
    <n v="1"/>
    <n v="0"/>
    <n v="1"/>
    <n v="0"/>
  </r>
  <r>
    <x v="26"/>
    <x v="2"/>
    <n v="3"/>
    <n v="3"/>
    <n v="3"/>
    <n v="0"/>
    <n v="0"/>
  </r>
  <r>
    <x v="27"/>
    <x v="0"/>
    <n v="2"/>
    <n v="2"/>
    <n v="0"/>
    <n v="2"/>
    <n v="0"/>
  </r>
  <r>
    <x v="27"/>
    <x v="2"/>
    <n v="2"/>
    <n v="2"/>
    <n v="2"/>
    <n v="0"/>
    <n v="0"/>
  </r>
  <r>
    <x v="27"/>
    <x v="3"/>
    <n v="1"/>
    <n v="1"/>
    <n v="1"/>
    <n v="0"/>
    <n v="0"/>
  </r>
  <r>
    <x v="28"/>
    <x v="1"/>
    <n v="5"/>
    <n v="4"/>
    <n v="4"/>
    <n v="0"/>
    <n v="0"/>
  </r>
  <r>
    <x v="28"/>
    <x v="0"/>
    <n v="1"/>
    <n v="0"/>
    <n v="0"/>
    <n v="0"/>
    <n v="0"/>
  </r>
  <r>
    <x v="28"/>
    <x v="2"/>
    <n v="1"/>
    <n v="1"/>
    <n v="1"/>
    <n v="0"/>
    <n v="0"/>
  </r>
  <r>
    <x v="28"/>
    <x v="3"/>
    <n v="9"/>
    <n v="9"/>
    <n v="9"/>
    <n v="0"/>
    <n v="0"/>
  </r>
  <r>
    <x v="28"/>
    <x v="4"/>
    <n v="4"/>
    <n v="4"/>
    <n v="4"/>
    <n v="0"/>
    <n v="0"/>
  </r>
  <r>
    <x v="29"/>
    <x v="3"/>
    <n v="13"/>
    <n v="12"/>
    <n v="10"/>
    <n v="2"/>
    <n v="0"/>
  </r>
  <r>
    <x v="29"/>
    <x v="2"/>
    <n v="1"/>
    <n v="1"/>
    <n v="1"/>
    <n v="0"/>
    <n v="0"/>
  </r>
  <r>
    <x v="29"/>
    <x v="4"/>
    <n v="4"/>
    <n v="4"/>
    <n v="3"/>
    <n v="1"/>
    <n v="0"/>
  </r>
  <r>
    <x v="30"/>
    <x v="0"/>
    <n v="1"/>
    <n v="1"/>
    <n v="0"/>
    <n v="1"/>
    <n v="0"/>
  </r>
  <r>
    <x v="30"/>
    <x v="4"/>
    <n v="8"/>
    <n v="8"/>
    <n v="7"/>
    <n v="1"/>
    <n v="0"/>
  </r>
  <r>
    <x v="30"/>
    <x v="1"/>
    <n v="3"/>
    <n v="3"/>
    <n v="3"/>
    <n v="0"/>
    <n v="0"/>
  </r>
  <r>
    <x v="30"/>
    <x v="2"/>
    <n v="6"/>
    <n v="6"/>
    <n v="5"/>
    <n v="1"/>
    <n v="0"/>
  </r>
  <r>
    <x v="30"/>
    <x v="3"/>
    <n v="8"/>
    <n v="8"/>
    <n v="8"/>
    <n v="0"/>
    <n v="0"/>
  </r>
  <r>
    <x v="31"/>
    <x v="4"/>
    <n v="2"/>
    <n v="1"/>
    <n v="1"/>
    <n v="0"/>
    <n v="0"/>
  </r>
  <r>
    <x v="31"/>
    <x v="2"/>
    <n v="2"/>
    <n v="2"/>
    <n v="2"/>
    <n v="0"/>
    <n v="0"/>
  </r>
  <r>
    <x v="31"/>
    <x v="3"/>
    <n v="5"/>
    <n v="3"/>
    <n v="1"/>
    <n v="2"/>
    <n v="0"/>
  </r>
  <r>
    <x v="32"/>
    <x v="0"/>
    <n v="1"/>
    <n v="1"/>
    <n v="1"/>
    <n v="0"/>
    <n v="0"/>
  </r>
  <r>
    <x v="32"/>
    <x v="2"/>
    <n v="6"/>
    <n v="6"/>
    <n v="6"/>
    <n v="0"/>
    <n v="0"/>
  </r>
  <r>
    <x v="32"/>
    <x v="3"/>
    <n v="7"/>
    <n v="7"/>
    <n v="6"/>
    <n v="1"/>
    <n v="0"/>
  </r>
  <r>
    <x v="32"/>
    <x v="1"/>
    <n v="3"/>
    <n v="3"/>
    <n v="3"/>
    <n v="0"/>
    <n v="0"/>
  </r>
  <r>
    <x v="32"/>
    <x v="4"/>
    <n v="2"/>
    <n v="2"/>
    <n v="2"/>
    <n v="0"/>
    <n v="0"/>
  </r>
  <r>
    <x v="33"/>
    <x v="4"/>
    <n v="7"/>
    <n v="7"/>
    <n v="6"/>
    <n v="1"/>
    <n v="0"/>
  </r>
  <r>
    <x v="33"/>
    <x v="2"/>
    <n v="15"/>
    <n v="15"/>
    <n v="11"/>
    <n v="4"/>
    <n v="0"/>
  </r>
  <r>
    <x v="33"/>
    <x v="3"/>
    <n v="9"/>
    <n v="9"/>
    <n v="9"/>
    <n v="0"/>
    <n v="0"/>
  </r>
  <r>
    <x v="33"/>
    <x v="1"/>
    <n v="5"/>
    <n v="5"/>
    <n v="5"/>
    <n v="0"/>
    <n v="0"/>
  </r>
  <r>
    <x v="34"/>
    <x v="4"/>
    <n v="5"/>
    <n v="5"/>
    <n v="5"/>
    <n v="0"/>
    <n v="0"/>
  </r>
  <r>
    <x v="34"/>
    <x v="0"/>
    <n v="1"/>
    <n v="0"/>
    <n v="0"/>
    <n v="0"/>
    <n v="0"/>
  </r>
  <r>
    <x v="34"/>
    <x v="2"/>
    <n v="5"/>
    <n v="5"/>
    <n v="5"/>
    <n v="0"/>
    <n v="0"/>
  </r>
  <r>
    <x v="34"/>
    <x v="3"/>
    <n v="10"/>
    <n v="10"/>
    <n v="9"/>
    <n v="1"/>
    <n v="0"/>
  </r>
  <r>
    <x v="35"/>
    <x v="1"/>
    <n v="1"/>
    <n v="1"/>
    <n v="1"/>
    <n v="0"/>
    <n v="0"/>
  </r>
  <r>
    <x v="35"/>
    <x v="4"/>
    <n v="2"/>
    <n v="2"/>
    <n v="1"/>
    <n v="1"/>
    <n v="0"/>
  </r>
  <r>
    <x v="35"/>
    <x v="3"/>
    <n v="5"/>
    <n v="4"/>
    <n v="3"/>
    <n v="1"/>
    <n v="0"/>
  </r>
  <r>
    <x v="36"/>
    <x v="3"/>
    <n v="13"/>
    <n v="13"/>
    <n v="13"/>
    <n v="0"/>
    <n v="0"/>
  </r>
  <r>
    <x v="36"/>
    <x v="1"/>
    <n v="1"/>
    <n v="1"/>
    <n v="1"/>
    <n v="0"/>
    <n v="0"/>
  </r>
  <r>
    <x v="36"/>
    <x v="2"/>
    <n v="4"/>
    <n v="4"/>
    <n v="3"/>
    <n v="1"/>
    <n v="0"/>
  </r>
  <r>
    <x v="36"/>
    <x v="4"/>
    <n v="12"/>
    <n v="11"/>
    <n v="11"/>
    <n v="0"/>
    <n v="1"/>
  </r>
  <r>
    <x v="37"/>
    <x v="4"/>
    <n v="1"/>
    <n v="1"/>
    <n v="1"/>
    <n v="0"/>
    <n v="0"/>
  </r>
  <r>
    <x v="37"/>
    <x v="1"/>
    <n v="1"/>
    <n v="1"/>
    <n v="1"/>
    <n v="0"/>
    <n v="0"/>
  </r>
  <r>
    <x v="37"/>
    <x v="3"/>
    <n v="3"/>
    <n v="3"/>
    <n v="3"/>
    <n v="0"/>
    <n v="0"/>
  </r>
  <r>
    <x v="37"/>
    <x v="2"/>
    <n v="1"/>
    <n v="1"/>
    <n v="1"/>
    <n v="0"/>
    <n v="0"/>
  </r>
  <r>
    <x v="38"/>
    <x v="4"/>
    <n v="4"/>
    <n v="4"/>
    <n v="4"/>
    <n v="0"/>
    <n v="0"/>
  </r>
  <r>
    <x v="38"/>
    <x v="2"/>
    <n v="3"/>
    <n v="3"/>
    <n v="2"/>
    <n v="1"/>
    <n v="0"/>
  </r>
  <r>
    <x v="38"/>
    <x v="3"/>
    <n v="4"/>
    <n v="4"/>
    <n v="4"/>
    <n v="0"/>
    <n v="0"/>
  </r>
  <r>
    <x v="38"/>
    <x v="1"/>
    <n v="1"/>
    <n v="1"/>
    <n v="1"/>
    <n v="0"/>
    <n v="0"/>
  </r>
  <r>
    <x v="39"/>
    <x v="0"/>
    <n v="1"/>
    <n v="1"/>
    <n v="1"/>
    <n v="0"/>
    <n v="0"/>
  </r>
  <r>
    <x v="39"/>
    <x v="1"/>
    <n v="2"/>
    <n v="2"/>
    <n v="2"/>
    <n v="0"/>
    <n v="0"/>
  </r>
  <r>
    <x v="39"/>
    <x v="3"/>
    <n v="8"/>
    <n v="8"/>
    <n v="4"/>
    <n v="4"/>
    <n v="0"/>
  </r>
  <r>
    <x v="39"/>
    <x v="4"/>
    <n v="22"/>
    <n v="21"/>
    <n v="17"/>
    <n v="4"/>
    <n v="0"/>
  </r>
  <r>
    <x v="39"/>
    <x v="2"/>
    <n v="11"/>
    <n v="11"/>
    <n v="5"/>
    <n v="6"/>
    <n v="0"/>
  </r>
  <r>
    <x v="40"/>
    <x v="0"/>
    <n v="1"/>
    <n v="1"/>
    <n v="1"/>
    <n v="0"/>
    <n v="0"/>
  </r>
  <r>
    <x v="40"/>
    <x v="3"/>
    <n v="1"/>
    <n v="1"/>
    <n v="1"/>
    <n v="0"/>
    <n v="0"/>
  </r>
  <r>
    <x v="41"/>
    <x v="3"/>
    <n v="20"/>
    <n v="20"/>
    <n v="13"/>
    <n v="7"/>
    <n v="0"/>
  </r>
  <r>
    <x v="41"/>
    <x v="1"/>
    <n v="2"/>
    <n v="2"/>
    <n v="2"/>
    <n v="0"/>
    <n v="0"/>
  </r>
  <r>
    <x v="41"/>
    <x v="4"/>
    <n v="9"/>
    <n v="9"/>
    <n v="7"/>
    <n v="2"/>
    <n v="0"/>
  </r>
  <r>
    <x v="41"/>
    <x v="2"/>
    <n v="13"/>
    <n v="13"/>
    <n v="8"/>
    <n v="5"/>
    <n v="0"/>
  </r>
  <r>
    <x v="42"/>
    <x v="3"/>
    <n v="5"/>
    <n v="5"/>
    <n v="4"/>
    <n v="1"/>
    <n v="0"/>
  </r>
  <r>
    <x v="42"/>
    <x v="2"/>
    <n v="6"/>
    <n v="6"/>
    <n v="4"/>
    <n v="2"/>
    <n v="0"/>
  </r>
  <r>
    <x v="42"/>
    <x v="1"/>
    <n v="2"/>
    <n v="2"/>
    <n v="2"/>
    <n v="0"/>
    <n v="0"/>
  </r>
  <r>
    <x v="42"/>
    <x v="4"/>
    <n v="1"/>
    <n v="1"/>
    <n v="1"/>
    <n v="0"/>
    <n v="0"/>
  </r>
  <r>
    <x v="17"/>
    <x v="1"/>
    <n v="1"/>
    <n v="1"/>
    <n v="1"/>
    <n v="0"/>
    <n v="0"/>
  </r>
  <r>
    <x v="17"/>
    <x v="3"/>
    <n v="6"/>
    <n v="5"/>
    <n v="5"/>
    <n v="0"/>
    <n v="1"/>
  </r>
  <r>
    <x v="17"/>
    <x v="4"/>
    <n v="1"/>
    <n v="1"/>
    <n v="1"/>
    <n v="0"/>
    <n v="0"/>
  </r>
  <r>
    <x v="18"/>
    <x v="3"/>
    <n v="10"/>
    <n v="10"/>
    <n v="8"/>
    <n v="2"/>
    <n v="0"/>
  </r>
  <r>
    <x v="18"/>
    <x v="2"/>
    <n v="8"/>
    <n v="8"/>
    <n v="8"/>
    <n v="0"/>
    <n v="0"/>
  </r>
  <r>
    <x v="18"/>
    <x v="1"/>
    <n v="1"/>
    <n v="1"/>
    <n v="1"/>
    <n v="0"/>
    <n v="0"/>
  </r>
  <r>
    <x v="18"/>
    <x v="4"/>
    <n v="5"/>
    <n v="5"/>
    <n v="4"/>
    <n v="1"/>
    <n v="0"/>
  </r>
  <r>
    <x v="19"/>
    <x v="4"/>
    <n v="11"/>
    <n v="11"/>
    <n v="9"/>
    <n v="2"/>
    <n v="0"/>
  </r>
  <r>
    <x v="19"/>
    <x v="2"/>
    <n v="6"/>
    <n v="6"/>
    <n v="6"/>
    <n v="0"/>
    <n v="0"/>
  </r>
  <r>
    <x v="19"/>
    <x v="3"/>
    <n v="6"/>
    <n v="6"/>
    <n v="6"/>
    <n v="0"/>
    <n v="0"/>
  </r>
  <r>
    <x v="19"/>
    <x v="1"/>
    <n v="8"/>
    <n v="8"/>
    <n v="8"/>
    <n v="0"/>
    <n v="0"/>
  </r>
  <r>
    <x v="20"/>
    <x v="3"/>
    <n v="7"/>
    <n v="6"/>
    <n v="5"/>
    <n v="1"/>
    <n v="1"/>
  </r>
  <r>
    <x v="20"/>
    <x v="4"/>
    <n v="7"/>
    <n v="6"/>
    <n v="6"/>
    <n v="0"/>
    <n v="0"/>
  </r>
  <r>
    <x v="20"/>
    <x v="2"/>
    <n v="4"/>
    <n v="4"/>
    <n v="4"/>
    <n v="0"/>
    <n v="0"/>
  </r>
  <r>
    <x v="20"/>
    <x v="1"/>
    <n v="14"/>
    <n v="13"/>
    <n v="13"/>
    <n v="0"/>
    <n v="1"/>
  </r>
  <r>
    <x v="21"/>
    <x v="1"/>
    <n v="13"/>
    <n v="13"/>
    <n v="12"/>
    <n v="1"/>
    <n v="0"/>
  </r>
  <r>
    <x v="21"/>
    <x v="4"/>
    <n v="8"/>
    <n v="8"/>
    <n v="7"/>
    <n v="1"/>
    <n v="0"/>
  </r>
  <r>
    <x v="21"/>
    <x v="3"/>
    <n v="11"/>
    <n v="9"/>
    <n v="8"/>
    <n v="1"/>
    <n v="0"/>
  </r>
  <r>
    <x v="21"/>
    <x v="2"/>
    <n v="4"/>
    <n v="4"/>
    <n v="4"/>
    <n v="0"/>
    <n v="0"/>
  </r>
  <r>
    <x v="22"/>
    <x v="1"/>
    <n v="4"/>
    <n v="4"/>
    <n v="4"/>
    <n v="0"/>
    <n v="0"/>
  </r>
  <r>
    <x v="22"/>
    <x v="4"/>
    <n v="13"/>
    <n v="13"/>
    <n v="12"/>
    <n v="1"/>
    <n v="0"/>
  </r>
  <r>
    <x v="22"/>
    <x v="2"/>
    <n v="13"/>
    <n v="13"/>
    <n v="12"/>
    <n v="1"/>
    <n v="0"/>
  </r>
  <r>
    <x v="22"/>
    <x v="3"/>
    <n v="32"/>
    <n v="31"/>
    <n v="25"/>
    <n v="6"/>
    <n v="0"/>
  </r>
  <r>
    <x v="23"/>
    <x v="4"/>
    <n v="8"/>
    <n v="8"/>
    <n v="6"/>
    <n v="2"/>
    <n v="0"/>
  </r>
  <r>
    <x v="23"/>
    <x v="2"/>
    <n v="9"/>
    <n v="8"/>
    <n v="5"/>
    <n v="3"/>
    <n v="0"/>
  </r>
  <r>
    <x v="23"/>
    <x v="1"/>
    <n v="4"/>
    <n v="4"/>
    <n v="2"/>
    <n v="2"/>
    <n v="0"/>
  </r>
  <r>
    <x v="23"/>
    <x v="3"/>
    <n v="18"/>
    <n v="16"/>
    <n v="10"/>
    <n v="6"/>
    <n v="0"/>
  </r>
  <r>
    <x v="24"/>
    <x v="2"/>
    <n v="8"/>
    <n v="8"/>
    <n v="7"/>
    <n v="1"/>
    <n v="0"/>
  </r>
  <r>
    <x v="24"/>
    <x v="3"/>
    <n v="4"/>
    <n v="4"/>
    <n v="3"/>
    <n v="1"/>
    <n v="0"/>
  </r>
  <r>
    <x v="24"/>
    <x v="4"/>
    <n v="4"/>
    <n v="4"/>
    <n v="4"/>
    <n v="0"/>
    <n v="0"/>
  </r>
  <r>
    <x v="25"/>
    <x v="3"/>
    <n v="10"/>
    <n v="9"/>
    <n v="8"/>
    <n v="1"/>
    <n v="1"/>
  </r>
  <r>
    <x v="25"/>
    <x v="4"/>
    <n v="7"/>
    <n v="7"/>
    <n v="7"/>
    <n v="0"/>
    <n v="0"/>
  </r>
  <r>
    <x v="25"/>
    <x v="1"/>
    <n v="1"/>
    <n v="1"/>
    <n v="1"/>
    <n v="0"/>
    <n v="0"/>
  </r>
  <r>
    <x v="25"/>
    <x v="2"/>
    <n v="4"/>
    <n v="4"/>
    <n v="4"/>
    <n v="0"/>
    <n v="0"/>
  </r>
  <r>
    <x v="26"/>
    <x v="4"/>
    <n v="16"/>
    <n v="16"/>
    <n v="15"/>
    <n v="1"/>
    <n v="0"/>
  </r>
  <r>
    <x v="26"/>
    <x v="3"/>
    <n v="3"/>
    <n v="3"/>
    <n v="3"/>
    <n v="0"/>
    <n v="0"/>
  </r>
  <r>
    <x v="26"/>
    <x v="1"/>
    <n v="2"/>
    <n v="2"/>
    <n v="1"/>
    <n v="1"/>
    <n v="0"/>
  </r>
  <r>
    <x v="26"/>
    <x v="2"/>
    <n v="1"/>
    <n v="1"/>
    <n v="0"/>
    <n v="1"/>
    <n v="0"/>
  </r>
  <r>
    <x v="27"/>
    <x v="2"/>
    <n v="5"/>
    <n v="2"/>
    <n v="2"/>
    <n v="0"/>
    <n v="3"/>
  </r>
  <r>
    <x v="27"/>
    <x v="1"/>
    <n v="6"/>
    <n v="6"/>
    <n v="6"/>
    <n v="0"/>
    <n v="0"/>
  </r>
  <r>
    <x v="27"/>
    <x v="3"/>
    <n v="8"/>
    <n v="8"/>
    <n v="8"/>
    <n v="0"/>
    <n v="0"/>
  </r>
  <r>
    <x v="27"/>
    <x v="4"/>
    <n v="1"/>
    <n v="1"/>
    <n v="1"/>
    <n v="0"/>
    <n v="0"/>
  </r>
  <r>
    <x v="28"/>
    <x v="2"/>
    <n v="4"/>
    <n v="3"/>
    <n v="3"/>
    <n v="0"/>
    <n v="0"/>
  </r>
  <r>
    <x v="28"/>
    <x v="1"/>
    <n v="6"/>
    <n v="5"/>
    <n v="5"/>
    <n v="0"/>
    <n v="0"/>
  </r>
  <r>
    <x v="28"/>
    <x v="3"/>
    <n v="13"/>
    <n v="13"/>
    <n v="12"/>
    <n v="1"/>
    <n v="0"/>
  </r>
  <r>
    <x v="28"/>
    <x v="4"/>
    <n v="7"/>
    <n v="7"/>
    <n v="7"/>
    <n v="0"/>
    <n v="0"/>
  </r>
  <r>
    <x v="29"/>
    <x v="3"/>
    <n v="9"/>
    <n v="9"/>
    <n v="8"/>
    <n v="1"/>
    <n v="0"/>
  </r>
  <r>
    <x v="29"/>
    <x v="1"/>
    <n v="2"/>
    <n v="2"/>
    <n v="2"/>
    <n v="0"/>
    <n v="0"/>
  </r>
  <r>
    <x v="29"/>
    <x v="4"/>
    <n v="2"/>
    <n v="2"/>
    <n v="1"/>
    <n v="1"/>
    <n v="0"/>
  </r>
  <r>
    <x v="29"/>
    <x v="2"/>
    <n v="2"/>
    <n v="2"/>
    <n v="2"/>
    <n v="0"/>
    <n v="1"/>
  </r>
  <r>
    <x v="30"/>
    <x v="1"/>
    <n v="3"/>
    <n v="3"/>
    <n v="2"/>
    <n v="1"/>
    <n v="0"/>
  </r>
  <r>
    <x v="30"/>
    <x v="4"/>
    <n v="2"/>
    <n v="2"/>
    <n v="2"/>
    <n v="0"/>
    <n v="0"/>
  </r>
  <r>
    <x v="30"/>
    <x v="2"/>
    <n v="3"/>
    <n v="3"/>
    <n v="3"/>
    <n v="0"/>
    <n v="0"/>
  </r>
  <r>
    <x v="30"/>
    <x v="3"/>
    <n v="16"/>
    <n v="15"/>
    <n v="10"/>
    <n v="5"/>
    <n v="1"/>
  </r>
  <r>
    <x v="31"/>
    <x v="4"/>
    <n v="3"/>
    <n v="2"/>
    <n v="2"/>
    <n v="0"/>
    <n v="0"/>
  </r>
  <r>
    <x v="31"/>
    <x v="3"/>
    <n v="8"/>
    <n v="4"/>
    <n v="3"/>
    <n v="1"/>
    <n v="0"/>
  </r>
  <r>
    <x v="31"/>
    <x v="2"/>
    <n v="3"/>
    <n v="3"/>
    <n v="3"/>
    <n v="0"/>
    <n v="0"/>
  </r>
  <r>
    <x v="32"/>
    <x v="2"/>
    <n v="5"/>
    <n v="4"/>
    <n v="3"/>
    <n v="1"/>
    <n v="0"/>
  </r>
  <r>
    <x v="32"/>
    <x v="1"/>
    <n v="1"/>
    <n v="1"/>
    <n v="1"/>
    <n v="0"/>
    <n v="0"/>
  </r>
  <r>
    <x v="32"/>
    <x v="3"/>
    <n v="9"/>
    <n v="8"/>
    <n v="7"/>
    <n v="1"/>
    <n v="0"/>
  </r>
  <r>
    <x v="32"/>
    <x v="4"/>
    <n v="2"/>
    <n v="2"/>
    <n v="2"/>
    <n v="0"/>
    <n v="0"/>
  </r>
  <r>
    <x v="33"/>
    <x v="4"/>
    <n v="6"/>
    <n v="6"/>
    <n v="6"/>
    <n v="0"/>
    <n v="0"/>
  </r>
  <r>
    <x v="33"/>
    <x v="2"/>
    <n v="4"/>
    <n v="4"/>
    <n v="4"/>
    <n v="0"/>
    <n v="0"/>
  </r>
  <r>
    <x v="33"/>
    <x v="3"/>
    <n v="13"/>
    <n v="13"/>
    <n v="9"/>
    <n v="4"/>
    <n v="0"/>
  </r>
  <r>
    <x v="33"/>
    <x v="1"/>
    <n v="2"/>
    <n v="2"/>
    <n v="2"/>
    <n v="0"/>
    <n v="0"/>
  </r>
  <r>
    <x v="34"/>
    <x v="1"/>
    <n v="1"/>
    <n v="1"/>
    <n v="1"/>
    <n v="0"/>
    <n v="0"/>
  </r>
  <r>
    <x v="34"/>
    <x v="2"/>
    <n v="2"/>
    <n v="2"/>
    <n v="2"/>
    <n v="0"/>
    <n v="0"/>
  </r>
  <r>
    <x v="34"/>
    <x v="4"/>
    <n v="2"/>
    <n v="2"/>
    <n v="2"/>
    <n v="0"/>
    <n v="0"/>
  </r>
  <r>
    <x v="34"/>
    <x v="3"/>
    <n v="4"/>
    <n v="4"/>
    <n v="4"/>
    <n v="0"/>
    <n v="0"/>
  </r>
  <r>
    <x v="35"/>
    <x v="1"/>
    <n v="1"/>
    <n v="1"/>
    <n v="1"/>
    <n v="0"/>
    <n v="0"/>
  </r>
  <r>
    <x v="35"/>
    <x v="4"/>
    <n v="3"/>
    <n v="3"/>
    <n v="3"/>
    <n v="0"/>
    <n v="0"/>
  </r>
  <r>
    <x v="35"/>
    <x v="2"/>
    <n v="1"/>
    <n v="1"/>
    <n v="1"/>
    <n v="0"/>
    <n v="0"/>
  </r>
  <r>
    <x v="35"/>
    <x v="3"/>
    <n v="4"/>
    <n v="3"/>
    <n v="2"/>
    <n v="1"/>
    <n v="0"/>
  </r>
  <r>
    <x v="36"/>
    <x v="3"/>
    <n v="8"/>
    <n v="8"/>
    <n v="7"/>
    <n v="1"/>
    <n v="1"/>
  </r>
  <r>
    <x v="36"/>
    <x v="1"/>
    <n v="1"/>
    <n v="1"/>
    <n v="1"/>
    <n v="0"/>
    <n v="0"/>
  </r>
  <r>
    <x v="36"/>
    <x v="2"/>
    <n v="6"/>
    <n v="6"/>
    <n v="6"/>
    <n v="0"/>
    <n v="0"/>
  </r>
  <r>
    <x v="36"/>
    <x v="4"/>
    <n v="4"/>
    <n v="4"/>
    <n v="4"/>
    <n v="0"/>
    <n v="0"/>
  </r>
  <r>
    <x v="37"/>
    <x v="4"/>
    <n v="4"/>
    <n v="4"/>
    <n v="4"/>
    <n v="0"/>
    <n v="0"/>
  </r>
  <r>
    <x v="37"/>
    <x v="3"/>
    <n v="1"/>
    <n v="1"/>
    <n v="0"/>
    <n v="1"/>
    <n v="0"/>
  </r>
  <r>
    <x v="38"/>
    <x v="4"/>
    <n v="5"/>
    <n v="5"/>
    <n v="5"/>
    <n v="0"/>
    <n v="0"/>
  </r>
  <r>
    <x v="38"/>
    <x v="2"/>
    <n v="4"/>
    <n v="4"/>
    <n v="2"/>
    <n v="2"/>
    <n v="0"/>
  </r>
  <r>
    <x v="38"/>
    <x v="3"/>
    <n v="1"/>
    <n v="1"/>
    <n v="0"/>
    <n v="1"/>
    <n v="0"/>
  </r>
  <r>
    <x v="39"/>
    <x v="1"/>
    <n v="1"/>
    <n v="1"/>
    <n v="0"/>
    <n v="1"/>
    <n v="0"/>
  </r>
  <r>
    <x v="39"/>
    <x v="3"/>
    <n v="7"/>
    <n v="6"/>
    <n v="3"/>
    <n v="3"/>
    <n v="0"/>
  </r>
  <r>
    <x v="39"/>
    <x v="4"/>
    <n v="7"/>
    <n v="7"/>
    <n v="6"/>
    <n v="1"/>
    <n v="0"/>
  </r>
  <r>
    <x v="39"/>
    <x v="2"/>
    <n v="8"/>
    <n v="8"/>
    <n v="4"/>
    <n v="4"/>
    <n v="0"/>
  </r>
  <r>
    <x v="40"/>
    <x v="3"/>
    <n v="1"/>
    <n v="0"/>
    <n v="0"/>
    <n v="0"/>
    <n v="0"/>
  </r>
  <r>
    <x v="41"/>
    <x v="3"/>
    <n v="5"/>
    <n v="5"/>
    <n v="3"/>
    <n v="2"/>
    <n v="0"/>
  </r>
  <r>
    <x v="41"/>
    <x v="1"/>
    <n v="1"/>
    <n v="1"/>
    <n v="1"/>
    <n v="0"/>
    <n v="0"/>
  </r>
  <r>
    <x v="41"/>
    <x v="2"/>
    <n v="7"/>
    <n v="7"/>
    <n v="4"/>
    <n v="3"/>
    <n v="0"/>
  </r>
  <r>
    <x v="41"/>
    <x v="4"/>
    <n v="2"/>
    <n v="2"/>
    <n v="2"/>
    <n v="0"/>
    <n v="0"/>
  </r>
  <r>
    <x v="42"/>
    <x v="3"/>
    <n v="15"/>
    <n v="15"/>
    <n v="13"/>
    <n v="2"/>
    <n v="0"/>
  </r>
  <r>
    <x v="42"/>
    <x v="1"/>
    <n v="1"/>
    <n v="1"/>
    <n v="1"/>
    <n v="0"/>
    <n v="0"/>
  </r>
  <r>
    <x v="42"/>
    <x v="4"/>
    <n v="3"/>
    <n v="3"/>
    <n v="3"/>
    <n v="0"/>
    <n v="0"/>
  </r>
  <r>
    <x v="42"/>
    <x v="2"/>
    <n v="5"/>
    <n v="5"/>
    <n v="5"/>
    <n v="0"/>
    <n v="0"/>
  </r>
  <r>
    <x v="43"/>
    <x v="3"/>
    <n v="4"/>
    <n v="4"/>
    <n v="2"/>
    <n v="2"/>
    <n v="0"/>
  </r>
  <r>
    <x v="43"/>
    <x v="1"/>
    <n v="1"/>
    <n v="1"/>
    <n v="1"/>
    <n v="0"/>
    <n v="0"/>
  </r>
  <r>
    <x v="43"/>
    <x v="2"/>
    <n v="2"/>
    <n v="2"/>
    <n v="2"/>
    <n v="0"/>
    <n v="0"/>
  </r>
  <r>
    <x v="43"/>
    <x v="4"/>
    <n v="2"/>
    <n v="2"/>
    <n v="2"/>
    <n v="0"/>
    <n v="0"/>
  </r>
  <r>
    <x v="44"/>
    <x v="1"/>
    <n v="4"/>
    <n v="4"/>
    <n v="4"/>
    <n v="0"/>
    <n v="0"/>
  </r>
  <r>
    <x v="44"/>
    <x v="2"/>
    <n v="20"/>
    <n v="20"/>
    <n v="19"/>
    <n v="1"/>
    <n v="0"/>
  </r>
  <r>
    <x v="44"/>
    <x v="3"/>
    <n v="20"/>
    <n v="19"/>
    <n v="16"/>
    <n v="3"/>
    <n v="1"/>
  </r>
  <r>
    <x v="44"/>
    <x v="4"/>
    <n v="23"/>
    <n v="22"/>
    <n v="14"/>
    <n v="8"/>
    <n v="0"/>
  </r>
  <r>
    <x v="44"/>
    <x v="0"/>
    <n v="4"/>
    <n v="2"/>
    <n v="1"/>
    <n v="1"/>
    <n v="0"/>
  </r>
  <r>
    <x v="45"/>
    <x v="4"/>
    <n v="24"/>
    <n v="24"/>
    <n v="20"/>
    <n v="4"/>
    <n v="0"/>
  </r>
  <r>
    <x v="45"/>
    <x v="1"/>
    <n v="8"/>
    <n v="8"/>
    <n v="5"/>
    <n v="3"/>
    <n v="0"/>
  </r>
  <r>
    <x v="45"/>
    <x v="3"/>
    <n v="10"/>
    <n v="10"/>
    <n v="9"/>
    <n v="1"/>
    <n v="0"/>
  </r>
  <r>
    <x v="45"/>
    <x v="2"/>
    <n v="18"/>
    <n v="18"/>
    <n v="15"/>
    <n v="3"/>
    <n v="0"/>
  </r>
  <r>
    <x v="46"/>
    <x v="4"/>
    <n v="1"/>
    <n v="1"/>
    <n v="1"/>
    <n v="0"/>
    <n v="0"/>
  </r>
  <r>
    <x v="46"/>
    <x v="2"/>
    <n v="1"/>
    <n v="1"/>
    <n v="1"/>
    <n v="0"/>
    <n v="0"/>
  </r>
  <r>
    <x v="47"/>
    <x v="4"/>
    <n v="3"/>
    <n v="3"/>
    <n v="3"/>
    <n v="0"/>
    <n v="0"/>
  </r>
  <r>
    <x v="47"/>
    <x v="2"/>
    <n v="7"/>
    <n v="7"/>
    <n v="3"/>
    <n v="4"/>
    <n v="0"/>
  </r>
  <r>
    <x v="47"/>
    <x v="3"/>
    <n v="16"/>
    <n v="15"/>
    <n v="12"/>
    <n v="3"/>
    <n v="0"/>
  </r>
  <r>
    <x v="47"/>
    <x v="0"/>
    <n v="3"/>
    <n v="1"/>
    <n v="1"/>
    <n v="0"/>
    <n v="0"/>
  </r>
  <r>
    <x v="47"/>
    <x v="5"/>
    <n v="3"/>
    <n v="3"/>
    <n v="2"/>
    <n v="1"/>
    <n v="0"/>
  </r>
  <r>
    <x v="47"/>
    <x v="1"/>
    <n v="2"/>
    <n v="2"/>
    <n v="0"/>
    <n v="2"/>
    <n v="0"/>
  </r>
  <r>
    <x v="48"/>
    <x v="0"/>
    <n v="1"/>
    <n v="1"/>
    <n v="0"/>
    <n v="1"/>
    <n v="0"/>
  </r>
  <r>
    <x v="48"/>
    <x v="4"/>
    <n v="16"/>
    <n v="16"/>
    <n v="16"/>
    <n v="0"/>
    <n v="0"/>
  </r>
  <r>
    <x v="48"/>
    <x v="3"/>
    <n v="26"/>
    <n v="26"/>
    <n v="12"/>
    <n v="14"/>
    <n v="0"/>
  </r>
  <r>
    <x v="48"/>
    <x v="2"/>
    <n v="5"/>
    <n v="5"/>
    <n v="5"/>
    <n v="0"/>
    <n v="0"/>
  </r>
  <r>
    <x v="48"/>
    <x v="1"/>
    <n v="1"/>
    <n v="1"/>
    <n v="1"/>
    <n v="0"/>
    <n v="0"/>
  </r>
  <r>
    <x v="49"/>
    <x v="0"/>
    <n v="3"/>
    <n v="3"/>
    <n v="2"/>
    <n v="1"/>
    <n v="0"/>
  </r>
  <r>
    <x v="49"/>
    <x v="2"/>
    <n v="9"/>
    <n v="9"/>
    <n v="6"/>
    <n v="3"/>
    <n v="0"/>
  </r>
  <r>
    <x v="49"/>
    <x v="1"/>
    <n v="23"/>
    <n v="23"/>
    <n v="19"/>
    <n v="4"/>
    <n v="0"/>
  </r>
  <r>
    <x v="49"/>
    <x v="4"/>
    <n v="34"/>
    <n v="34"/>
    <n v="27"/>
    <n v="7"/>
    <n v="0"/>
  </r>
  <r>
    <x v="49"/>
    <x v="3"/>
    <n v="18"/>
    <n v="18"/>
    <n v="17"/>
    <n v="1"/>
    <n v="0"/>
  </r>
  <r>
    <x v="50"/>
    <x v="0"/>
    <n v="2"/>
    <n v="0"/>
    <n v="0"/>
    <n v="0"/>
    <n v="0"/>
  </r>
  <r>
    <x v="50"/>
    <x v="2"/>
    <n v="25"/>
    <n v="24"/>
    <n v="18"/>
    <n v="6"/>
    <n v="1"/>
  </r>
  <r>
    <x v="50"/>
    <x v="4"/>
    <n v="23"/>
    <n v="23"/>
    <n v="16"/>
    <n v="7"/>
    <n v="0"/>
  </r>
  <r>
    <x v="50"/>
    <x v="3"/>
    <n v="17"/>
    <n v="16"/>
    <n v="14"/>
    <n v="2"/>
    <n v="1"/>
  </r>
  <r>
    <x v="50"/>
    <x v="1"/>
    <n v="10"/>
    <n v="10"/>
    <n v="6"/>
    <n v="4"/>
    <n v="0"/>
  </r>
  <r>
    <x v="51"/>
    <x v="4"/>
    <n v="1"/>
    <n v="1"/>
    <n v="1"/>
    <n v="0"/>
    <n v="0"/>
  </r>
  <r>
    <x v="52"/>
    <x v="1"/>
    <n v="1"/>
    <n v="1"/>
    <n v="1"/>
    <n v="0"/>
    <n v="0"/>
  </r>
  <r>
    <x v="52"/>
    <x v="3"/>
    <n v="5"/>
    <n v="5"/>
    <n v="4"/>
    <n v="1"/>
    <n v="0"/>
  </r>
  <r>
    <x v="52"/>
    <x v="2"/>
    <n v="5"/>
    <n v="5"/>
    <n v="5"/>
    <n v="0"/>
    <n v="0"/>
  </r>
  <r>
    <x v="52"/>
    <x v="4"/>
    <n v="6"/>
    <n v="6"/>
    <n v="5"/>
    <n v="1"/>
    <n v="0"/>
  </r>
  <r>
    <x v="53"/>
    <x v="1"/>
    <n v="9"/>
    <n v="9"/>
    <n v="9"/>
    <n v="0"/>
    <n v="0"/>
  </r>
  <r>
    <x v="53"/>
    <x v="3"/>
    <n v="11"/>
    <n v="10"/>
    <n v="9"/>
    <n v="1"/>
    <n v="0"/>
  </r>
  <r>
    <x v="53"/>
    <x v="2"/>
    <n v="15"/>
    <n v="15"/>
    <n v="14"/>
    <n v="1"/>
    <n v="0"/>
  </r>
  <r>
    <x v="53"/>
    <x v="4"/>
    <n v="16"/>
    <n v="16"/>
    <n v="15"/>
    <n v="1"/>
    <n v="0"/>
  </r>
  <r>
    <x v="54"/>
    <x v="4"/>
    <n v="19"/>
    <n v="19"/>
    <n v="15"/>
    <n v="4"/>
    <n v="0"/>
  </r>
  <r>
    <x v="54"/>
    <x v="2"/>
    <n v="9"/>
    <n v="9"/>
    <n v="8"/>
    <n v="1"/>
    <n v="0"/>
  </r>
  <r>
    <x v="54"/>
    <x v="3"/>
    <n v="11"/>
    <n v="11"/>
    <n v="7"/>
    <n v="4"/>
    <n v="0"/>
  </r>
  <r>
    <x v="55"/>
    <x v="1"/>
    <n v="1"/>
    <n v="1"/>
    <n v="1"/>
    <n v="0"/>
    <n v="0"/>
  </r>
  <r>
    <x v="55"/>
    <x v="3"/>
    <n v="8"/>
    <n v="5"/>
    <n v="4"/>
    <n v="1"/>
    <n v="0"/>
  </r>
  <r>
    <x v="55"/>
    <x v="4"/>
    <n v="2"/>
    <n v="2"/>
    <n v="0"/>
    <n v="2"/>
    <n v="0"/>
  </r>
  <r>
    <x v="56"/>
    <x v="2"/>
    <n v="2"/>
    <n v="2"/>
    <n v="1"/>
    <n v="1"/>
    <n v="0"/>
  </r>
  <r>
    <x v="56"/>
    <x v="3"/>
    <n v="6"/>
    <n v="6"/>
    <n v="5"/>
    <n v="1"/>
    <n v="0"/>
  </r>
  <r>
    <x v="57"/>
    <x v="2"/>
    <n v="14"/>
    <n v="14"/>
    <n v="12"/>
    <n v="2"/>
    <n v="0"/>
  </r>
  <r>
    <x v="57"/>
    <x v="4"/>
    <n v="13"/>
    <n v="12"/>
    <n v="12"/>
    <n v="0"/>
    <n v="0"/>
  </r>
  <r>
    <x v="57"/>
    <x v="3"/>
    <n v="34"/>
    <n v="32"/>
    <n v="19"/>
    <n v="13"/>
    <n v="0"/>
  </r>
  <r>
    <x v="58"/>
    <x v="3"/>
    <n v="3"/>
    <n v="3"/>
    <n v="2"/>
    <n v="1"/>
    <n v="0"/>
  </r>
  <r>
    <x v="59"/>
    <x v="1"/>
    <n v="4"/>
    <n v="4"/>
    <n v="4"/>
    <n v="0"/>
    <n v="0"/>
  </r>
  <r>
    <x v="59"/>
    <x v="3"/>
    <n v="1"/>
    <n v="1"/>
    <n v="1"/>
    <n v="0"/>
    <n v="0"/>
  </r>
  <r>
    <x v="59"/>
    <x v="4"/>
    <n v="2"/>
    <n v="2"/>
    <n v="2"/>
    <n v="0"/>
    <n v="0"/>
  </r>
  <r>
    <x v="59"/>
    <x v="0"/>
    <n v="1"/>
    <n v="1"/>
    <n v="1"/>
    <n v="0"/>
    <n v="0"/>
  </r>
  <r>
    <x v="60"/>
    <x v="1"/>
    <n v="1"/>
    <n v="1"/>
    <n v="1"/>
    <n v="0"/>
    <n v="0"/>
  </r>
  <r>
    <x v="60"/>
    <x v="3"/>
    <n v="5"/>
    <n v="5"/>
    <n v="5"/>
    <n v="0"/>
    <n v="0"/>
  </r>
  <r>
    <x v="60"/>
    <x v="4"/>
    <n v="13"/>
    <n v="13"/>
    <n v="11"/>
    <n v="2"/>
    <n v="0"/>
  </r>
  <r>
    <x v="61"/>
    <x v="2"/>
    <n v="5"/>
    <n v="5"/>
    <n v="3"/>
    <n v="2"/>
    <n v="0"/>
  </r>
  <r>
    <x v="61"/>
    <x v="4"/>
    <n v="1"/>
    <n v="1"/>
    <n v="1"/>
    <n v="0"/>
    <n v="0"/>
  </r>
  <r>
    <x v="61"/>
    <x v="0"/>
    <n v="1"/>
    <n v="1"/>
    <n v="1"/>
    <n v="0"/>
    <n v="0"/>
  </r>
  <r>
    <x v="61"/>
    <x v="3"/>
    <n v="9"/>
    <n v="9"/>
    <n v="8"/>
    <n v="1"/>
    <n v="0"/>
  </r>
  <r>
    <x v="62"/>
    <x v="0"/>
    <n v="1"/>
    <n v="1"/>
    <n v="1"/>
    <n v="0"/>
    <n v="0"/>
  </r>
  <r>
    <x v="62"/>
    <x v="2"/>
    <n v="17"/>
    <n v="17"/>
    <n v="14"/>
    <n v="3"/>
    <n v="0"/>
  </r>
  <r>
    <x v="62"/>
    <x v="3"/>
    <n v="18"/>
    <n v="18"/>
    <n v="15"/>
    <n v="3"/>
    <n v="0"/>
  </r>
  <r>
    <x v="62"/>
    <x v="1"/>
    <n v="19"/>
    <n v="19"/>
    <n v="16"/>
    <n v="3"/>
    <n v="0"/>
  </r>
  <r>
    <x v="62"/>
    <x v="4"/>
    <n v="9"/>
    <n v="9"/>
    <n v="8"/>
    <n v="1"/>
    <n v="0"/>
  </r>
  <r>
    <x v="63"/>
    <x v="4"/>
    <n v="12"/>
    <n v="12"/>
    <n v="12"/>
    <n v="0"/>
    <n v="0"/>
  </r>
  <r>
    <x v="63"/>
    <x v="3"/>
    <n v="3"/>
    <n v="3"/>
    <n v="1"/>
    <n v="2"/>
    <n v="0"/>
  </r>
  <r>
    <x v="63"/>
    <x v="1"/>
    <n v="3"/>
    <n v="3"/>
    <n v="3"/>
    <n v="0"/>
    <n v="0"/>
  </r>
  <r>
    <x v="63"/>
    <x v="2"/>
    <n v="16"/>
    <n v="15"/>
    <n v="14"/>
    <n v="1"/>
    <n v="0"/>
  </r>
  <r>
    <x v="43"/>
    <x v="3"/>
    <n v="11"/>
    <n v="11"/>
    <n v="9"/>
    <n v="2"/>
    <n v="0"/>
  </r>
  <r>
    <x v="43"/>
    <x v="4"/>
    <n v="5"/>
    <n v="5"/>
    <n v="5"/>
    <n v="0"/>
    <n v="0"/>
  </r>
  <r>
    <x v="43"/>
    <x v="2"/>
    <n v="2"/>
    <n v="2"/>
    <n v="2"/>
    <n v="0"/>
    <n v="0"/>
  </r>
  <r>
    <x v="44"/>
    <x v="3"/>
    <n v="12"/>
    <n v="11"/>
    <n v="9"/>
    <n v="2"/>
    <n v="0"/>
  </r>
  <r>
    <x v="44"/>
    <x v="1"/>
    <n v="4"/>
    <n v="4"/>
    <n v="3"/>
    <n v="1"/>
    <n v="0"/>
  </r>
  <r>
    <x v="44"/>
    <x v="2"/>
    <n v="16"/>
    <n v="16"/>
    <n v="9"/>
    <n v="7"/>
    <n v="0"/>
  </r>
  <r>
    <x v="44"/>
    <x v="4"/>
    <n v="17"/>
    <n v="17"/>
    <n v="17"/>
    <n v="0"/>
    <n v="0"/>
  </r>
  <r>
    <x v="45"/>
    <x v="3"/>
    <n v="4"/>
    <n v="4"/>
    <n v="3"/>
    <n v="1"/>
    <n v="0"/>
  </r>
  <r>
    <x v="45"/>
    <x v="4"/>
    <n v="5"/>
    <n v="5"/>
    <n v="4"/>
    <n v="1"/>
    <n v="0"/>
  </r>
  <r>
    <x v="45"/>
    <x v="2"/>
    <n v="6"/>
    <n v="6"/>
    <n v="5"/>
    <n v="1"/>
    <n v="0"/>
  </r>
  <r>
    <x v="45"/>
    <x v="1"/>
    <n v="3"/>
    <n v="3"/>
    <n v="3"/>
    <n v="0"/>
    <n v="0"/>
  </r>
  <r>
    <x v="46"/>
    <x v="2"/>
    <n v="1"/>
    <n v="1"/>
    <n v="1"/>
    <n v="0"/>
    <n v="0"/>
  </r>
  <r>
    <x v="46"/>
    <x v="1"/>
    <n v="2"/>
    <n v="2"/>
    <n v="2"/>
    <n v="0"/>
    <n v="0"/>
  </r>
  <r>
    <x v="46"/>
    <x v="4"/>
    <n v="2"/>
    <n v="2"/>
    <n v="2"/>
    <n v="0"/>
    <n v="0"/>
  </r>
  <r>
    <x v="47"/>
    <x v="4"/>
    <n v="1"/>
    <n v="1"/>
    <n v="1"/>
    <n v="0"/>
    <n v="0"/>
  </r>
  <r>
    <x v="47"/>
    <x v="2"/>
    <n v="3"/>
    <n v="3"/>
    <n v="3"/>
    <n v="0"/>
    <n v="0"/>
  </r>
  <r>
    <x v="47"/>
    <x v="3"/>
    <n v="17"/>
    <n v="17"/>
    <n v="9"/>
    <n v="8"/>
    <n v="0"/>
  </r>
  <r>
    <x v="47"/>
    <x v="1"/>
    <n v="1"/>
    <n v="1"/>
    <n v="1"/>
    <n v="0"/>
    <n v="0"/>
  </r>
  <r>
    <x v="48"/>
    <x v="3"/>
    <n v="4"/>
    <n v="3"/>
    <n v="3"/>
    <n v="0"/>
    <n v="0"/>
  </r>
  <r>
    <x v="48"/>
    <x v="2"/>
    <n v="1"/>
    <n v="1"/>
    <n v="1"/>
    <n v="0"/>
    <n v="0"/>
  </r>
  <r>
    <x v="48"/>
    <x v="0"/>
    <n v="1"/>
    <n v="1"/>
    <n v="1"/>
    <n v="0"/>
    <n v="0"/>
  </r>
  <r>
    <x v="48"/>
    <x v="1"/>
    <n v="5"/>
    <n v="5"/>
    <n v="5"/>
    <n v="0"/>
    <n v="0"/>
  </r>
  <r>
    <x v="48"/>
    <x v="5"/>
    <n v="1"/>
    <n v="1"/>
    <n v="1"/>
    <n v="0"/>
    <n v="0"/>
  </r>
  <r>
    <x v="48"/>
    <x v="4"/>
    <n v="6"/>
    <n v="6"/>
    <n v="5"/>
    <n v="1"/>
    <n v="0"/>
  </r>
  <r>
    <x v="49"/>
    <x v="2"/>
    <n v="11"/>
    <n v="11"/>
    <n v="6"/>
    <n v="5"/>
    <n v="0"/>
  </r>
  <r>
    <x v="49"/>
    <x v="3"/>
    <n v="32"/>
    <n v="31"/>
    <n v="29"/>
    <n v="2"/>
    <n v="0"/>
  </r>
  <r>
    <x v="49"/>
    <x v="1"/>
    <n v="19"/>
    <n v="19"/>
    <n v="15"/>
    <n v="4"/>
    <n v="0"/>
  </r>
  <r>
    <x v="49"/>
    <x v="4"/>
    <n v="19"/>
    <n v="19"/>
    <n v="16"/>
    <n v="3"/>
    <n v="0"/>
  </r>
  <r>
    <x v="50"/>
    <x v="2"/>
    <n v="25"/>
    <n v="24"/>
    <n v="19"/>
    <n v="5"/>
    <n v="1"/>
  </r>
  <r>
    <x v="50"/>
    <x v="4"/>
    <n v="12"/>
    <n v="12"/>
    <n v="9"/>
    <n v="3"/>
    <n v="0"/>
  </r>
  <r>
    <x v="50"/>
    <x v="1"/>
    <n v="21"/>
    <n v="21"/>
    <n v="18"/>
    <n v="3"/>
    <n v="0"/>
  </r>
  <r>
    <x v="50"/>
    <x v="3"/>
    <n v="17"/>
    <n v="16"/>
    <n v="9"/>
    <n v="7"/>
    <n v="0"/>
  </r>
  <r>
    <x v="52"/>
    <x v="2"/>
    <n v="3"/>
    <n v="3"/>
    <n v="2"/>
    <n v="1"/>
    <n v="0"/>
  </r>
  <r>
    <x v="52"/>
    <x v="1"/>
    <n v="1"/>
    <n v="1"/>
    <n v="0"/>
    <n v="1"/>
    <n v="0"/>
  </r>
  <r>
    <x v="52"/>
    <x v="4"/>
    <n v="16"/>
    <n v="15"/>
    <n v="14"/>
    <n v="1"/>
    <n v="0"/>
  </r>
  <r>
    <x v="52"/>
    <x v="3"/>
    <n v="14"/>
    <n v="14"/>
    <n v="10"/>
    <n v="4"/>
    <n v="0"/>
  </r>
  <r>
    <x v="53"/>
    <x v="3"/>
    <n v="9"/>
    <n v="9"/>
    <n v="6"/>
    <n v="3"/>
    <n v="0"/>
  </r>
  <r>
    <x v="53"/>
    <x v="1"/>
    <n v="13"/>
    <n v="13"/>
    <n v="10"/>
    <n v="3"/>
    <n v="0"/>
  </r>
  <r>
    <x v="53"/>
    <x v="4"/>
    <n v="20"/>
    <n v="20"/>
    <n v="18"/>
    <n v="2"/>
    <n v="0"/>
  </r>
  <r>
    <x v="53"/>
    <x v="2"/>
    <n v="19"/>
    <n v="19"/>
    <n v="16"/>
    <n v="3"/>
    <n v="0"/>
  </r>
  <r>
    <x v="54"/>
    <x v="2"/>
    <n v="3"/>
    <n v="3"/>
    <n v="2"/>
    <n v="1"/>
    <n v="0"/>
  </r>
  <r>
    <x v="54"/>
    <x v="4"/>
    <n v="12"/>
    <n v="12"/>
    <n v="8"/>
    <n v="4"/>
    <n v="0"/>
  </r>
  <r>
    <x v="54"/>
    <x v="3"/>
    <n v="13"/>
    <n v="13"/>
    <n v="8"/>
    <n v="5"/>
    <n v="0"/>
  </r>
  <r>
    <x v="54"/>
    <x v="1"/>
    <n v="4"/>
    <n v="3"/>
    <n v="0"/>
    <n v="3"/>
    <n v="0"/>
  </r>
  <r>
    <x v="55"/>
    <x v="1"/>
    <n v="1"/>
    <n v="1"/>
    <n v="1"/>
    <n v="0"/>
    <n v="0"/>
  </r>
  <r>
    <x v="55"/>
    <x v="4"/>
    <n v="2"/>
    <n v="2"/>
    <n v="2"/>
    <n v="0"/>
    <n v="0"/>
  </r>
  <r>
    <x v="55"/>
    <x v="3"/>
    <n v="3"/>
    <n v="2"/>
    <n v="1"/>
    <n v="1"/>
    <n v="0"/>
  </r>
  <r>
    <x v="56"/>
    <x v="2"/>
    <n v="1"/>
    <n v="1"/>
    <n v="1"/>
    <n v="0"/>
    <n v="0"/>
  </r>
  <r>
    <x v="56"/>
    <x v="3"/>
    <n v="1"/>
    <n v="1"/>
    <n v="1"/>
    <n v="0"/>
    <n v="0"/>
  </r>
  <r>
    <x v="56"/>
    <x v="1"/>
    <n v="1"/>
    <n v="1"/>
    <n v="0"/>
    <n v="1"/>
    <n v="0"/>
  </r>
  <r>
    <x v="57"/>
    <x v="2"/>
    <n v="12"/>
    <n v="12"/>
    <n v="7"/>
    <n v="5"/>
    <n v="0"/>
  </r>
  <r>
    <x v="57"/>
    <x v="4"/>
    <n v="4"/>
    <n v="4"/>
    <n v="4"/>
    <n v="0"/>
    <n v="0"/>
  </r>
  <r>
    <x v="57"/>
    <x v="1"/>
    <n v="2"/>
    <n v="2"/>
    <n v="2"/>
    <n v="0"/>
    <n v="0"/>
  </r>
  <r>
    <x v="57"/>
    <x v="3"/>
    <n v="19"/>
    <n v="19"/>
    <n v="11"/>
    <n v="8"/>
    <n v="0"/>
  </r>
  <r>
    <x v="58"/>
    <x v="3"/>
    <n v="1"/>
    <n v="0"/>
    <n v="0"/>
    <n v="0"/>
    <n v="0"/>
  </r>
  <r>
    <x v="58"/>
    <x v="4"/>
    <n v="2"/>
    <n v="2"/>
    <n v="2"/>
    <n v="0"/>
    <n v="0"/>
  </r>
  <r>
    <x v="64"/>
    <x v="3"/>
    <n v="2"/>
    <n v="2"/>
    <n v="2"/>
    <n v="0"/>
    <n v="0"/>
  </r>
  <r>
    <x v="64"/>
    <x v="4"/>
    <n v="2"/>
    <n v="2"/>
    <n v="2"/>
    <n v="0"/>
    <n v="0"/>
  </r>
  <r>
    <x v="59"/>
    <x v="3"/>
    <n v="10"/>
    <n v="7"/>
    <n v="5"/>
    <n v="2"/>
    <n v="0"/>
  </r>
  <r>
    <x v="59"/>
    <x v="1"/>
    <n v="1"/>
    <n v="1"/>
    <n v="1"/>
    <n v="0"/>
    <n v="0"/>
  </r>
  <r>
    <x v="59"/>
    <x v="4"/>
    <n v="7"/>
    <n v="7"/>
    <n v="6"/>
    <n v="1"/>
    <n v="0"/>
  </r>
  <r>
    <x v="59"/>
    <x v="2"/>
    <n v="5"/>
    <n v="5"/>
    <n v="5"/>
    <n v="0"/>
    <n v="0"/>
  </r>
  <r>
    <x v="60"/>
    <x v="3"/>
    <n v="1"/>
    <n v="1"/>
    <n v="1"/>
    <n v="0"/>
    <n v="0"/>
  </r>
  <r>
    <x v="60"/>
    <x v="4"/>
    <n v="2"/>
    <n v="2"/>
    <n v="2"/>
    <n v="0"/>
    <n v="0"/>
  </r>
  <r>
    <x v="61"/>
    <x v="2"/>
    <n v="2"/>
    <n v="2"/>
    <n v="2"/>
    <n v="0"/>
    <n v="0"/>
  </r>
  <r>
    <x v="61"/>
    <x v="3"/>
    <n v="5"/>
    <n v="5"/>
    <n v="4"/>
    <n v="1"/>
    <n v="0"/>
  </r>
  <r>
    <x v="62"/>
    <x v="0"/>
    <n v="1"/>
    <n v="1"/>
    <n v="1"/>
    <n v="0"/>
    <n v="0"/>
  </r>
  <r>
    <x v="62"/>
    <x v="2"/>
    <n v="7"/>
    <n v="7"/>
    <n v="6"/>
    <n v="1"/>
    <n v="0"/>
  </r>
  <r>
    <x v="62"/>
    <x v="3"/>
    <n v="18"/>
    <n v="17"/>
    <n v="15"/>
    <n v="2"/>
    <n v="0"/>
  </r>
  <r>
    <x v="62"/>
    <x v="1"/>
    <n v="7"/>
    <n v="7"/>
    <n v="5"/>
    <n v="2"/>
    <n v="0"/>
  </r>
  <r>
    <x v="62"/>
    <x v="4"/>
    <n v="4"/>
    <n v="4"/>
    <n v="4"/>
    <n v="0"/>
    <n v="0"/>
  </r>
  <r>
    <x v="63"/>
    <x v="3"/>
    <n v="1"/>
    <n v="0"/>
    <n v="0"/>
    <n v="0"/>
    <n v="0"/>
  </r>
  <r>
    <x v="63"/>
    <x v="1"/>
    <n v="3"/>
    <n v="3"/>
    <n v="3"/>
    <n v="0"/>
    <n v="0"/>
  </r>
  <r>
    <x v="63"/>
    <x v="4"/>
    <n v="5"/>
    <n v="5"/>
    <n v="5"/>
    <n v="0"/>
    <n v="0"/>
  </r>
  <r>
    <x v="63"/>
    <x v="2"/>
    <n v="6"/>
    <n v="6"/>
    <n v="6"/>
    <n v="0"/>
    <n v="0"/>
  </r>
  <r>
    <x v="65"/>
    <x v="0"/>
    <n v="1"/>
    <n v="1"/>
    <n v="1"/>
    <n v="0"/>
    <n v="0"/>
  </r>
  <r>
    <x v="65"/>
    <x v="1"/>
    <n v="2"/>
    <n v="2"/>
    <n v="2"/>
    <n v="0"/>
    <n v="0"/>
  </r>
  <r>
    <x v="65"/>
    <x v="2"/>
    <n v="3"/>
    <n v="3"/>
    <n v="2"/>
    <n v="1"/>
    <n v="0"/>
  </r>
  <r>
    <x v="65"/>
    <x v="3"/>
    <n v="2"/>
    <n v="2"/>
    <n v="2"/>
    <n v="0"/>
    <n v="0"/>
  </r>
  <r>
    <x v="65"/>
    <x v="4"/>
    <n v="12"/>
    <n v="12"/>
    <n v="8"/>
    <n v="4"/>
    <n v="0"/>
  </r>
  <r>
    <x v="66"/>
    <x v="0"/>
    <n v="1"/>
    <n v="1"/>
    <n v="1"/>
    <n v="0"/>
    <n v="0"/>
  </r>
  <r>
    <x v="66"/>
    <x v="4"/>
    <n v="16"/>
    <n v="16"/>
    <n v="15"/>
    <n v="1"/>
    <n v="0"/>
  </r>
  <r>
    <x v="66"/>
    <x v="3"/>
    <n v="15"/>
    <n v="13"/>
    <n v="13"/>
    <n v="0"/>
    <n v="0"/>
  </r>
  <r>
    <x v="66"/>
    <x v="1"/>
    <n v="12"/>
    <n v="12"/>
    <n v="11"/>
    <n v="1"/>
    <n v="0"/>
  </r>
  <r>
    <x v="66"/>
    <x v="2"/>
    <n v="7"/>
    <n v="7"/>
    <n v="6"/>
    <n v="1"/>
    <n v="0"/>
  </r>
  <r>
    <x v="67"/>
    <x v="0"/>
    <n v="1"/>
    <n v="0"/>
    <n v="0"/>
    <n v="0"/>
    <n v="0"/>
  </r>
  <r>
    <x v="67"/>
    <x v="3"/>
    <n v="11"/>
    <n v="10"/>
    <n v="8"/>
    <n v="2"/>
    <n v="0"/>
  </r>
  <r>
    <x v="67"/>
    <x v="2"/>
    <n v="6"/>
    <n v="6"/>
    <n v="5"/>
    <n v="1"/>
    <n v="0"/>
  </r>
  <r>
    <x v="67"/>
    <x v="1"/>
    <n v="2"/>
    <n v="2"/>
    <n v="2"/>
    <n v="0"/>
    <n v="0"/>
  </r>
  <r>
    <x v="67"/>
    <x v="4"/>
    <n v="12"/>
    <n v="12"/>
    <n v="10"/>
    <n v="2"/>
    <n v="0"/>
  </r>
  <r>
    <x v="68"/>
    <x v="4"/>
    <n v="5"/>
    <n v="5"/>
    <n v="4"/>
    <n v="1"/>
    <n v="0"/>
  </r>
  <r>
    <x v="68"/>
    <x v="1"/>
    <n v="2"/>
    <n v="2"/>
    <n v="2"/>
    <n v="0"/>
    <n v="0"/>
  </r>
  <r>
    <x v="68"/>
    <x v="2"/>
    <n v="7"/>
    <n v="6"/>
    <n v="6"/>
    <n v="0"/>
    <n v="1"/>
  </r>
  <r>
    <x v="69"/>
    <x v="2"/>
    <n v="2"/>
    <n v="2"/>
    <n v="1"/>
    <n v="1"/>
    <n v="0"/>
  </r>
  <r>
    <x v="69"/>
    <x v="1"/>
    <n v="5"/>
    <n v="5"/>
    <n v="4"/>
    <n v="1"/>
    <n v="0"/>
  </r>
  <r>
    <x v="69"/>
    <x v="3"/>
    <n v="6"/>
    <n v="6"/>
    <n v="5"/>
    <n v="1"/>
    <n v="0"/>
  </r>
  <r>
    <x v="69"/>
    <x v="4"/>
    <n v="4"/>
    <n v="4"/>
    <n v="4"/>
    <n v="0"/>
    <n v="0"/>
  </r>
  <r>
    <x v="70"/>
    <x v="4"/>
    <n v="13"/>
    <n v="12"/>
    <n v="11"/>
    <n v="1"/>
    <n v="0"/>
  </r>
  <r>
    <x v="70"/>
    <x v="1"/>
    <n v="2"/>
    <n v="2"/>
    <n v="1"/>
    <n v="1"/>
    <n v="0"/>
  </r>
  <r>
    <x v="70"/>
    <x v="3"/>
    <n v="12"/>
    <n v="11"/>
    <n v="9"/>
    <n v="2"/>
    <n v="0"/>
  </r>
  <r>
    <x v="70"/>
    <x v="0"/>
    <n v="1"/>
    <n v="1"/>
    <n v="1"/>
    <n v="0"/>
    <n v="0"/>
  </r>
  <r>
    <x v="70"/>
    <x v="2"/>
    <n v="4"/>
    <n v="4"/>
    <n v="2"/>
    <n v="2"/>
    <n v="0"/>
  </r>
  <r>
    <x v="71"/>
    <x v="2"/>
    <n v="2"/>
    <n v="2"/>
    <n v="2"/>
    <n v="0"/>
    <n v="0"/>
  </r>
  <r>
    <x v="71"/>
    <x v="1"/>
    <n v="3"/>
    <n v="3"/>
    <n v="2"/>
    <n v="1"/>
    <n v="0"/>
  </r>
  <r>
    <x v="71"/>
    <x v="4"/>
    <n v="2"/>
    <n v="1"/>
    <n v="1"/>
    <n v="0"/>
    <n v="0"/>
  </r>
  <r>
    <x v="71"/>
    <x v="3"/>
    <n v="6"/>
    <n v="4"/>
    <n v="4"/>
    <n v="0"/>
    <n v="0"/>
  </r>
  <r>
    <x v="72"/>
    <x v="1"/>
    <n v="1"/>
    <n v="1"/>
    <n v="1"/>
    <n v="0"/>
    <n v="0"/>
  </r>
  <r>
    <x v="72"/>
    <x v="2"/>
    <n v="4"/>
    <n v="3"/>
    <n v="2"/>
    <n v="1"/>
    <n v="0"/>
  </r>
  <r>
    <x v="72"/>
    <x v="4"/>
    <n v="1"/>
    <n v="1"/>
    <n v="1"/>
    <n v="0"/>
    <n v="0"/>
  </r>
  <r>
    <x v="72"/>
    <x v="3"/>
    <n v="7"/>
    <n v="7"/>
    <n v="6"/>
    <n v="1"/>
    <n v="0"/>
  </r>
  <r>
    <x v="73"/>
    <x v="0"/>
    <n v="1"/>
    <n v="1"/>
    <n v="1"/>
    <n v="0"/>
    <n v="0"/>
  </r>
  <r>
    <x v="73"/>
    <x v="1"/>
    <n v="17"/>
    <n v="17"/>
    <n v="13"/>
    <n v="4"/>
    <n v="0"/>
  </r>
  <r>
    <x v="73"/>
    <x v="3"/>
    <n v="22"/>
    <n v="21"/>
    <n v="19"/>
    <n v="2"/>
    <n v="0"/>
  </r>
  <r>
    <x v="73"/>
    <x v="4"/>
    <n v="23"/>
    <n v="23"/>
    <n v="21"/>
    <n v="2"/>
    <n v="0"/>
  </r>
  <r>
    <x v="73"/>
    <x v="2"/>
    <n v="29"/>
    <n v="29"/>
    <n v="24"/>
    <n v="5"/>
    <n v="0"/>
  </r>
  <r>
    <x v="74"/>
    <x v="2"/>
    <n v="5"/>
    <n v="5"/>
    <n v="2"/>
    <n v="3"/>
    <n v="0"/>
  </r>
  <r>
    <x v="74"/>
    <x v="1"/>
    <n v="2"/>
    <n v="2"/>
    <n v="2"/>
    <n v="0"/>
    <n v="0"/>
  </r>
  <r>
    <x v="74"/>
    <x v="5"/>
    <n v="1"/>
    <n v="1"/>
    <n v="1"/>
    <n v="0"/>
    <n v="0"/>
  </r>
  <r>
    <x v="74"/>
    <x v="4"/>
    <n v="5"/>
    <n v="5"/>
    <n v="5"/>
    <n v="0"/>
    <n v="0"/>
  </r>
  <r>
    <x v="74"/>
    <x v="3"/>
    <n v="7"/>
    <n v="6"/>
    <n v="4"/>
    <n v="2"/>
    <n v="0"/>
  </r>
  <r>
    <x v="75"/>
    <x v="0"/>
    <n v="1"/>
    <n v="1"/>
    <n v="1"/>
    <n v="0"/>
    <n v="0"/>
  </r>
  <r>
    <x v="75"/>
    <x v="2"/>
    <n v="2"/>
    <n v="2"/>
    <n v="2"/>
    <n v="0"/>
    <n v="0"/>
  </r>
  <r>
    <x v="75"/>
    <x v="3"/>
    <n v="3"/>
    <n v="3"/>
    <n v="3"/>
    <n v="0"/>
    <n v="0"/>
  </r>
  <r>
    <x v="75"/>
    <x v="4"/>
    <n v="5"/>
    <n v="5"/>
    <n v="5"/>
    <n v="0"/>
    <n v="0"/>
  </r>
  <r>
    <x v="76"/>
    <x v="4"/>
    <n v="3"/>
    <n v="3"/>
    <n v="3"/>
    <n v="0"/>
    <n v="0"/>
  </r>
  <r>
    <x v="76"/>
    <x v="2"/>
    <n v="7"/>
    <n v="7"/>
    <n v="5"/>
    <n v="2"/>
    <n v="0"/>
  </r>
  <r>
    <x v="76"/>
    <x v="1"/>
    <n v="2"/>
    <n v="2"/>
    <n v="1"/>
    <n v="1"/>
    <n v="0"/>
  </r>
  <r>
    <x v="76"/>
    <x v="3"/>
    <n v="6"/>
    <n v="6"/>
    <n v="5"/>
    <n v="1"/>
    <n v="0"/>
  </r>
  <r>
    <x v="77"/>
    <x v="0"/>
    <n v="1"/>
    <n v="1"/>
    <n v="0"/>
    <n v="1"/>
    <n v="0"/>
  </r>
  <r>
    <x v="77"/>
    <x v="3"/>
    <n v="4"/>
    <n v="4"/>
    <n v="2"/>
    <n v="2"/>
    <n v="0"/>
  </r>
  <r>
    <x v="77"/>
    <x v="4"/>
    <n v="3"/>
    <n v="3"/>
    <n v="2"/>
    <n v="1"/>
    <n v="0"/>
  </r>
  <r>
    <x v="78"/>
    <x v="1"/>
    <n v="2"/>
    <n v="2"/>
    <n v="2"/>
    <n v="0"/>
    <n v="0"/>
  </r>
  <r>
    <x v="78"/>
    <x v="3"/>
    <n v="9"/>
    <n v="9"/>
    <n v="6"/>
    <n v="3"/>
    <n v="0"/>
  </r>
  <r>
    <x v="78"/>
    <x v="4"/>
    <n v="8"/>
    <n v="8"/>
    <n v="5"/>
    <n v="3"/>
    <n v="0"/>
  </r>
  <r>
    <x v="78"/>
    <x v="2"/>
    <n v="7"/>
    <n v="7"/>
    <n v="6"/>
    <n v="1"/>
    <n v="0"/>
  </r>
  <r>
    <x v="79"/>
    <x v="2"/>
    <n v="8"/>
    <n v="8"/>
    <n v="7"/>
    <n v="1"/>
    <n v="0"/>
  </r>
  <r>
    <x v="79"/>
    <x v="3"/>
    <n v="8"/>
    <n v="8"/>
    <n v="7"/>
    <n v="1"/>
    <n v="0"/>
  </r>
  <r>
    <x v="79"/>
    <x v="0"/>
    <n v="1"/>
    <n v="1"/>
    <n v="1"/>
    <n v="0"/>
    <n v="0"/>
  </r>
  <r>
    <x v="79"/>
    <x v="4"/>
    <n v="8"/>
    <n v="8"/>
    <n v="8"/>
    <n v="0"/>
    <n v="0"/>
  </r>
  <r>
    <x v="79"/>
    <x v="1"/>
    <n v="6"/>
    <n v="6"/>
    <n v="5"/>
    <n v="1"/>
    <n v="0"/>
  </r>
  <r>
    <x v="80"/>
    <x v="4"/>
    <n v="4"/>
    <n v="4"/>
    <n v="3"/>
    <n v="1"/>
    <n v="0"/>
  </r>
  <r>
    <x v="80"/>
    <x v="1"/>
    <n v="2"/>
    <n v="2"/>
    <n v="2"/>
    <n v="0"/>
    <n v="0"/>
  </r>
  <r>
    <x v="80"/>
    <x v="2"/>
    <n v="8"/>
    <n v="8"/>
    <n v="7"/>
    <n v="1"/>
    <n v="0"/>
  </r>
  <r>
    <x v="80"/>
    <x v="3"/>
    <n v="3"/>
    <n v="3"/>
    <n v="3"/>
    <n v="0"/>
    <n v="0"/>
  </r>
  <r>
    <x v="81"/>
    <x v="3"/>
    <n v="7"/>
    <n v="7"/>
    <n v="1"/>
    <n v="6"/>
    <n v="0"/>
  </r>
  <r>
    <x v="81"/>
    <x v="2"/>
    <n v="5"/>
    <n v="5"/>
    <n v="3"/>
    <n v="2"/>
    <n v="0"/>
  </r>
  <r>
    <x v="81"/>
    <x v="1"/>
    <n v="1"/>
    <n v="1"/>
    <n v="1"/>
    <n v="0"/>
    <n v="0"/>
  </r>
  <r>
    <x v="81"/>
    <x v="4"/>
    <n v="2"/>
    <n v="2"/>
    <n v="2"/>
    <n v="0"/>
    <n v="0"/>
  </r>
  <r>
    <x v="82"/>
    <x v="2"/>
    <n v="4"/>
    <n v="4"/>
    <n v="4"/>
    <n v="0"/>
    <n v="0"/>
  </r>
  <r>
    <x v="82"/>
    <x v="4"/>
    <n v="4"/>
    <n v="4"/>
    <n v="3"/>
    <n v="1"/>
    <n v="0"/>
  </r>
  <r>
    <x v="82"/>
    <x v="3"/>
    <n v="1"/>
    <n v="1"/>
    <n v="1"/>
    <n v="0"/>
    <n v="0"/>
  </r>
  <r>
    <x v="83"/>
    <x v="3"/>
    <n v="5"/>
    <n v="5"/>
    <n v="4"/>
    <n v="1"/>
    <n v="0"/>
  </r>
  <r>
    <x v="83"/>
    <x v="1"/>
    <n v="3"/>
    <n v="3"/>
    <n v="2"/>
    <n v="1"/>
    <n v="0"/>
  </r>
  <r>
    <x v="83"/>
    <x v="2"/>
    <n v="3"/>
    <n v="3"/>
    <n v="2"/>
    <n v="1"/>
    <n v="0"/>
  </r>
  <r>
    <x v="83"/>
    <x v="4"/>
    <n v="3"/>
    <n v="3"/>
    <n v="3"/>
    <n v="0"/>
    <n v="0"/>
  </r>
  <r>
    <x v="84"/>
    <x v="4"/>
    <n v="3"/>
    <n v="3"/>
    <n v="3"/>
    <n v="0"/>
    <n v="0"/>
  </r>
  <r>
    <x v="84"/>
    <x v="1"/>
    <n v="1"/>
    <n v="1"/>
    <n v="1"/>
    <n v="0"/>
    <n v="0"/>
  </r>
  <r>
    <x v="84"/>
    <x v="3"/>
    <n v="1"/>
    <n v="1"/>
    <n v="1"/>
    <n v="0"/>
    <n v="0"/>
  </r>
  <r>
    <x v="85"/>
    <x v="0"/>
    <n v="1"/>
    <n v="1"/>
    <n v="1"/>
    <n v="0"/>
    <n v="0"/>
  </r>
  <r>
    <x v="85"/>
    <x v="3"/>
    <n v="11"/>
    <n v="11"/>
    <n v="10"/>
    <n v="1"/>
    <n v="0"/>
  </r>
  <r>
    <x v="85"/>
    <x v="2"/>
    <n v="4"/>
    <n v="4"/>
    <n v="3"/>
    <n v="1"/>
    <n v="0"/>
  </r>
  <r>
    <x v="85"/>
    <x v="4"/>
    <n v="7"/>
    <n v="7"/>
    <n v="6"/>
    <n v="1"/>
    <n v="0"/>
  </r>
  <r>
    <x v="86"/>
    <x v="4"/>
    <n v="1"/>
    <n v="1"/>
    <n v="1"/>
    <n v="0"/>
    <n v="0"/>
  </r>
  <r>
    <x v="86"/>
    <x v="3"/>
    <n v="2"/>
    <n v="2"/>
    <n v="1"/>
    <n v="1"/>
    <n v="0"/>
  </r>
  <r>
    <x v="86"/>
    <x v="2"/>
    <n v="1"/>
    <n v="1"/>
    <n v="1"/>
    <n v="0"/>
    <n v="0"/>
  </r>
  <r>
    <x v="87"/>
    <x v="2"/>
    <n v="4"/>
    <n v="4"/>
    <n v="4"/>
    <n v="0"/>
    <n v="0"/>
  </r>
  <r>
    <x v="87"/>
    <x v="4"/>
    <n v="2"/>
    <n v="2"/>
    <n v="2"/>
    <n v="0"/>
    <n v="0"/>
  </r>
  <r>
    <x v="87"/>
    <x v="3"/>
    <n v="5"/>
    <n v="5"/>
    <n v="3"/>
    <n v="2"/>
    <n v="0"/>
  </r>
  <r>
    <x v="87"/>
    <x v="1"/>
    <n v="3"/>
    <n v="3"/>
    <n v="2"/>
    <n v="1"/>
    <n v="0"/>
  </r>
  <r>
    <x v="88"/>
    <x v="4"/>
    <n v="20"/>
    <n v="20"/>
    <n v="19"/>
    <n v="1"/>
    <n v="0"/>
  </r>
  <r>
    <x v="88"/>
    <x v="3"/>
    <n v="11"/>
    <n v="11"/>
    <n v="10"/>
    <n v="1"/>
    <n v="0"/>
  </r>
  <r>
    <x v="88"/>
    <x v="2"/>
    <n v="9"/>
    <n v="9"/>
    <n v="7"/>
    <n v="2"/>
    <n v="0"/>
  </r>
  <r>
    <x v="88"/>
    <x v="1"/>
    <n v="1"/>
    <n v="1"/>
    <n v="1"/>
    <n v="0"/>
    <n v="0"/>
  </r>
  <r>
    <x v="89"/>
    <x v="0"/>
    <n v="1"/>
    <n v="1"/>
    <n v="1"/>
    <n v="0"/>
    <n v="0"/>
  </r>
  <r>
    <x v="89"/>
    <x v="3"/>
    <n v="5"/>
    <n v="5"/>
    <n v="5"/>
    <n v="0"/>
    <n v="0"/>
  </r>
  <r>
    <x v="89"/>
    <x v="4"/>
    <n v="3"/>
    <n v="3"/>
    <n v="3"/>
    <n v="0"/>
    <n v="0"/>
  </r>
  <r>
    <x v="89"/>
    <x v="2"/>
    <n v="2"/>
    <n v="2"/>
    <n v="2"/>
    <n v="0"/>
    <n v="0"/>
  </r>
  <r>
    <x v="90"/>
    <x v="4"/>
    <n v="1"/>
    <n v="1"/>
    <n v="1"/>
    <n v="0"/>
    <n v="0"/>
  </r>
  <r>
    <x v="90"/>
    <x v="3"/>
    <n v="4"/>
    <n v="4"/>
    <n v="4"/>
    <n v="0"/>
    <n v="0"/>
  </r>
  <r>
    <x v="91"/>
    <x v="1"/>
    <n v="7"/>
    <n v="7"/>
    <n v="6"/>
    <n v="1"/>
    <n v="0"/>
  </r>
  <r>
    <x v="91"/>
    <x v="3"/>
    <n v="25"/>
    <n v="25"/>
    <n v="20"/>
    <n v="5"/>
    <n v="0"/>
  </r>
  <r>
    <x v="91"/>
    <x v="4"/>
    <n v="16"/>
    <n v="16"/>
    <n v="16"/>
    <n v="0"/>
    <n v="0"/>
  </r>
  <r>
    <x v="91"/>
    <x v="2"/>
    <n v="10"/>
    <n v="10"/>
    <n v="9"/>
    <n v="1"/>
    <n v="0"/>
  </r>
  <r>
    <x v="92"/>
    <x v="2"/>
    <n v="3"/>
    <n v="3"/>
    <n v="1"/>
    <n v="2"/>
    <n v="0"/>
  </r>
  <r>
    <x v="92"/>
    <x v="3"/>
    <n v="1"/>
    <n v="1"/>
    <n v="1"/>
    <n v="0"/>
    <n v="0"/>
  </r>
  <r>
    <x v="92"/>
    <x v="1"/>
    <n v="1"/>
    <n v="1"/>
    <n v="1"/>
    <n v="0"/>
    <n v="0"/>
  </r>
  <r>
    <x v="65"/>
    <x v="1"/>
    <n v="2"/>
    <n v="2"/>
    <n v="1"/>
    <n v="1"/>
    <n v="0"/>
  </r>
  <r>
    <x v="65"/>
    <x v="3"/>
    <n v="2"/>
    <n v="2"/>
    <n v="2"/>
    <n v="0"/>
    <n v="0"/>
  </r>
  <r>
    <x v="65"/>
    <x v="4"/>
    <n v="8"/>
    <n v="8"/>
    <n v="8"/>
    <n v="0"/>
    <n v="0"/>
  </r>
  <r>
    <x v="66"/>
    <x v="1"/>
    <n v="3"/>
    <n v="3"/>
    <n v="3"/>
    <n v="0"/>
    <n v="0"/>
  </r>
  <r>
    <x v="66"/>
    <x v="4"/>
    <n v="18"/>
    <n v="15"/>
    <n v="13"/>
    <n v="2"/>
    <n v="0"/>
  </r>
  <r>
    <x v="66"/>
    <x v="3"/>
    <n v="6"/>
    <n v="6"/>
    <n v="6"/>
    <n v="0"/>
    <n v="0"/>
  </r>
  <r>
    <x v="66"/>
    <x v="2"/>
    <n v="7"/>
    <n v="7"/>
    <n v="6"/>
    <n v="1"/>
    <n v="0"/>
  </r>
  <r>
    <x v="67"/>
    <x v="3"/>
    <n v="11"/>
    <n v="11"/>
    <n v="10"/>
    <n v="1"/>
    <n v="0"/>
  </r>
  <r>
    <x v="67"/>
    <x v="2"/>
    <n v="7"/>
    <n v="7"/>
    <n v="5"/>
    <n v="2"/>
    <n v="0"/>
  </r>
  <r>
    <x v="67"/>
    <x v="4"/>
    <n v="7"/>
    <n v="7"/>
    <n v="5"/>
    <n v="2"/>
    <n v="0"/>
  </r>
  <r>
    <x v="68"/>
    <x v="4"/>
    <n v="7"/>
    <n v="5"/>
    <n v="5"/>
    <n v="0"/>
    <n v="0"/>
  </r>
  <r>
    <x v="68"/>
    <x v="1"/>
    <n v="5"/>
    <n v="5"/>
    <n v="5"/>
    <n v="0"/>
    <n v="0"/>
  </r>
  <r>
    <x v="68"/>
    <x v="2"/>
    <n v="6"/>
    <n v="6"/>
    <n v="4"/>
    <n v="2"/>
    <n v="0"/>
  </r>
  <r>
    <x v="68"/>
    <x v="3"/>
    <n v="5"/>
    <n v="4"/>
    <n v="2"/>
    <n v="2"/>
    <n v="1"/>
  </r>
  <r>
    <x v="69"/>
    <x v="2"/>
    <n v="7"/>
    <n v="7"/>
    <n v="7"/>
    <n v="0"/>
    <n v="0"/>
  </r>
  <r>
    <x v="69"/>
    <x v="1"/>
    <n v="7"/>
    <n v="7"/>
    <n v="4"/>
    <n v="3"/>
    <n v="0"/>
  </r>
  <r>
    <x v="69"/>
    <x v="3"/>
    <n v="11"/>
    <n v="11"/>
    <n v="8"/>
    <n v="3"/>
    <n v="0"/>
  </r>
  <r>
    <x v="69"/>
    <x v="4"/>
    <n v="6"/>
    <n v="6"/>
    <n v="6"/>
    <n v="0"/>
    <n v="0"/>
  </r>
  <r>
    <x v="70"/>
    <x v="4"/>
    <n v="3"/>
    <n v="3"/>
    <n v="2"/>
    <n v="1"/>
    <n v="0"/>
  </r>
  <r>
    <x v="70"/>
    <x v="1"/>
    <n v="2"/>
    <n v="2"/>
    <n v="1"/>
    <n v="1"/>
    <n v="0"/>
  </r>
  <r>
    <x v="70"/>
    <x v="3"/>
    <n v="14"/>
    <n v="14"/>
    <n v="13"/>
    <n v="1"/>
    <n v="0"/>
  </r>
  <r>
    <x v="70"/>
    <x v="2"/>
    <n v="3"/>
    <n v="3"/>
    <n v="3"/>
    <n v="0"/>
    <n v="0"/>
  </r>
  <r>
    <x v="71"/>
    <x v="1"/>
    <n v="1"/>
    <n v="1"/>
    <n v="1"/>
    <n v="0"/>
    <n v="0"/>
  </r>
  <r>
    <x v="71"/>
    <x v="2"/>
    <n v="7"/>
    <n v="6"/>
    <n v="4"/>
    <n v="2"/>
    <n v="0"/>
  </r>
  <r>
    <x v="71"/>
    <x v="3"/>
    <n v="2"/>
    <n v="2"/>
    <n v="2"/>
    <n v="0"/>
    <n v="0"/>
  </r>
  <r>
    <x v="93"/>
    <x v="3"/>
    <n v="2"/>
    <n v="2"/>
    <n v="1"/>
    <n v="1"/>
    <n v="0"/>
  </r>
  <r>
    <x v="72"/>
    <x v="2"/>
    <n v="2"/>
    <n v="2"/>
    <n v="2"/>
    <n v="0"/>
    <n v="0"/>
  </r>
  <r>
    <x v="72"/>
    <x v="3"/>
    <n v="4"/>
    <n v="4"/>
    <n v="3"/>
    <n v="1"/>
    <n v="0"/>
  </r>
  <r>
    <x v="73"/>
    <x v="1"/>
    <n v="11"/>
    <n v="11"/>
    <n v="9"/>
    <n v="2"/>
    <n v="0"/>
  </r>
  <r>
    <x v="73"/>
    <x v="3"/>
    <n v="28"/>
    <n v="27"/>
    <n v="24"/>
    <n v="3"/>
    <n v="0"/>
  </r>
  <r>
    <x v="73"/>
    <x v="4"/>
    <n v="18"/>
    <n v="18"/>
    <n v="15"/>
    <n v="3"/>
    <n v="0"/>
  </r>
  <r>
    <x v="73"/>
    <x v="2"/>
    <n v="20"/>
    <n v="20"/>
    <n v="18"/>
    <n v="2"/>
    <n v="0"/>
  </r>
  <r>
    <x v="74"/>
    <x v="2"/>
    <n v="1"/>
    <n v="1"/>
    <n v="1"/>
    <n v="0"/>
    <n v="0"/>
  </r>
  <r>
    <x v="74"/>
    <x v="4"/>
    <n v="1"/>
    <n v="1"/>
    <n v="1"/>
    <n v="0"/>
    <n v="0"/>
  </r>
  <r>
    <x v="74"/>
    <x v="3"/>
    <n v="2"/>
    <n v="2"/>
    <n v="2"/>
    <n v="0"/>
    <n v="0"/>
  </r>
  <r>
    <x v="75"/>
    <x v="2"/>
    <n v="6"/>
    <n v="6"/>
    <n v="6"/>
    <n v="0"/>
    <n v="0"/>
  </r>
  <r>
    <x v="75"/>
    <x v="3"/>
    <n v="11"/>
    <n v="10"/>
    <n v="8"/>
    <n v="2"/>
    <n v="2"/>
  </r>
  <r>
    <x v="75"/>
    <x v="4"/>
    <n v="4"/>
    <n v="4"/>
    <n v="4"/>
    <n v="0"/>
    <n v="0"/>
  </r>
  <r>
    <x v="75"/>
    <x v="1"/>
    <n v="1"/>
    <n v="1"/>
    <n v="1"/>
    <n v="0"/>
    <n v="0"/>
  </r>
  <r>
    <x v="76"/>
    <x v="2"/>
    <n v="1"/>
    <n v="1"/>
    <n v="1"/>
    <n v="0"/>
    <n v="0"/>
  </r>
  <r>
    <x v="76"/>
    <x v="3"/>
    <n v="5"/>
    <n v="5"/>
    <n v="2"/>
    <n v="3"/>
    <n v="0"/>
  </r>
  <r>
    <x v="77"/>
    <x v="4"/>
    <n v="3"/>
    <n v="3"/>
    <n v="2"/>
    <n v="1"/>
    <n v="0"/>
  </r>
  <r>
    <x v="77"/>
    <x v="3"/>
    <n v="1"/>
    <n v="0"/>
    <n v="0"/>
    <n v="0"/>
    <n v="0"/>
  </r>
  <r>
    <x v="78"/>
    <x v="1"/>
    <n v="4"/>
    <n v="4"/>
    <n v="3"/>
    <n v="1"/>
    <n v="0"/>
  </r>
  <r>
    <x v="78"/>
    <x v="3"/>
    <n v="4"/>
    <n v="2"/>
    <n v="2"/>
    <n v="0"/>
    <n v="0"/>
  </r>
  <r>
    <x v="78"/>
    <x v="4"/>
    <n v="5"/>
    <n v="5"/>
    <n v="2"/>
    <n v="3"/>
    <n v="0"/>
  </r>
  <r>
    <x v="78"/>
    <x v="2"/>
    <n v="3"/>
    <n v="3"/>
    <n v="2"/>
    <n v="1"/>
    <n v="0"/>
  </r>
  <r>
    <x v="79"/>
    <x v="3"/>
    <n v="6"/>
    <n v="6"/>
    <n v="6"/>
    <n v="0"/>
    <n v="0"/>
  </r>
  <r>
    <x v="79"/>
    <x v="4"/>
    <n v="14"/>
    <n v="14"/>
    <n v="14"/>
    <n v="0"/>
    <n v="0"/>
  </r>
  <r>
    <x v="79"/>
    <x v="1"/>
    <n v="3"/>
    <n v="3"/>
    <n v="3"/>
    <n v="0"/>
    <n v="0"/>
  </r>
  <r>
    <x v="79"/>
    <x v="2"/>
    <n v="7"/>
    <n v="7"/>
    <n v="7"/>
    <n v="0"/>
    <n v="0"/>
  </r>
  <r>
    <x v="80"/>
    <x v="4"/>
    <n v="6"/>
    <n v="6"/>
    <n v="6"/>
    <n v="0"/>
    <n v="0"/>
  </r>
  <r>
    <x v="80"/>
    <x v="2"/>
    <n v="4"/>
    <n v="4"/>
    <n v="4"/>
    <n v="0"/>
    <n v="0"/>
  </r>
  <r>
    <x v="80"/>
    <x v="3"/>
    <n v="10"/>
    <n v="10"/>
    <n v="9"/>
    <n v="1"/>
    <n v="0"/>
  </r>
  <r>
    <x v="80"/>
    <x v="1"/>
    <n v="2"/>
    <n v="2"/>
    <n v="2"/>
    <n v="0"/>
    <n v="0"/>
  </r>
  <r>
    <x v="81"/>
    <x v="3"/>
    <n v="3"/>
    <n v="3"/>
    <n v="1"/>
    <n v="2"/>
    <n v="0"/>
  </r>
  <r>
    <x v="81"/>
    <x v="4"/>
    <n v="1"/>
    <n v="1"/>
    <n v="1"/>
    <n v="0"/>
    <n v="0"/>
  </r>
  <r>
    <x v="82"/>
    <x v="1"/>
    <n v="2"/>
    <n v="2"/>
    <n v="2"/>
    <n v="0"/>
    <n v="0"/>
  </r>
  <r>
    <x v="82"/>
    <x v="2"/>
    <n v="4"/>
    <n v="4"/>
    <n v="4"/>
    <n v="0"/>
    <n v="0"/>
  </r>
  <r>
    <x v="82"/>
    <x v="4"/>
    <n v="9"/>
    <n v="9"/>
    <n v="8"/>
    <n v="1"/>
    <n v="0"/>
  </r>
  <r>
    <x v="82"/>
    <x v="3"/>
    <n v="5"/>
    <n v="5"/>
    <n v="2"/>
    <n v="3"/>
    <n v="0"/>
  </r>
  <r>
    <x v="94"/>
    <x v="2"/>
    <n v="2"/>
    <n v="2"/>
    <n v="2"/>
    <n v="0"/>
    <n v="0"/>
  </r>
  <r>
    <x v="94"/>
    <x v="4"/>
    <n v="1"/>
    <n v="1"/>
    <n v="1"/>
    <n v="0"/>
    <n v="0"/>
  </r>
  <r>
    <x v="94"/>
    <x v="1"/>
    <n v="2"/>
    <n v="2"/>
    <n v="2"/>
    <n v="0"/>
    <n v="0"/>
  </r>
  <r>
    <x v="94"/>
    <x v="3"/>
    <n v="5"/>
    <n v="5"/>
    <n v="5"/>
    <n v="0"/>
    <n v="0"/>
  </r>
  <r>
    <x v="83"/>
    <x v="3"/>
    <n v="4"/>
    <n v="4"/>
    <n v="1"/>
    <n v="3"/>
    <n v="0"/>
  </r>
  <r>
    <x v="83"/>
    <x v="1"/>
    <n v="3"/>
    <n v="3"/>
    <n v="3"/>
    <n v="0"/>
    <n v="0"/>
  </r>
  <r>
    <x v="83"/>
    <x v="4"/>
    <n v="3"/>
    <n v="3"/>
    <n v="3"/>
    <n v="0"/>
    <n v="0"/>
  </r>
  <r>
    <x v="85"/>
    <x v="2"/>
    <n v="1"/>
    <n v="1"/>
    <n v="1"/>
    <n v="0"/>
    <n v="0"/>
  </r>
  <r>
    <x v="85"/>
    <x v="4"/>
    <n v="3"/>
    <n v="3"/>
    <n v="3"/>
    <n v="0"/>
    <n v="0"/>
  </r>
  <r>
    <x v="85"/>
    <x v="3"/>
    <n v="2"/>
    <n v="0"/>
    <n v="0"/>
    <n v="0"/>
    <n v="0"/>
  </r>
  <r>
    <x v="86"/>
    <x v="3"/>
    <n v="3"/>
    <n v="3"/>
    <n v="3"/>
    <n v="0"/>
    <n v="0"/>
  </r>
  <r>
    <x v="86"/>
    <x v="4"/>
    <n v="3"/>
    <n v="3"/>
    <n v="3"/>
    <n v="0"/>
    <n v="0"/>
  </r>
  <r>
    <x v="86"/>
    <x v="2"/>
    <n v="2"/>
    <n v="2"/>
    <n v="2"/>
    <n v="0"/>
    <n v="0"/>
  </r>
  <r>
    <x v="87"/>
    <x v="2"/>
    <n v="7"/>
    <n v="7"/>
    <n v="7"/>
    <n v="0"/>
    <n v="0"/>
  </r>
  <r>
    <x v="87"/>
    <x v="4"/>
    <n v="1"/>
    <n v="1"/>
    <n v="1"/>
    <n v="0"/>
    <n v="0"/>
  </r>
  <r>
    <x v="87"/>
    <x v="1"/>
    <n v="4"/>
    <n v="4"/>
    <n v="3"/>
    <n v="1"/>
    <n v="0"/>
  </r>
  <r>
    <x v="87"/>
    <x v="3"/>
    <n v="3"/>
    <n v="3"/>
    <n v="3"/>
    <n v="0"/>
    <n v="0"/>
  </r>
  <r>
    <x v="88"/>
    <x v="4"/>
    <n v="21"/>
    <n v="21"/>
    <n v="17"/>
    <n v="4"/>
    <n v="0"/>
  </r>
  <r>
    <x v="88"/>
    <x v="3"/>
    <n v="11"/>
    <n v="11"/>
    <n v="11"/>
    <n v="0"/>
    <n v="0"/>
  </r>
  <r>
    <x v="88"/>
    <x v="1"/>
    <n v="4"/>
    <n v="4"/>
    <n v="3"/>
    <n v="1"/>
    <n v="0"/>
  </r>
  <r>
    <x v="88"/>
    <x v="2"/>
    <n v="5"/>
    <n v="5"/>
    <n v="5"/>
    <n v="0"/>
    <n v="0"/>
  </r>
  <r>
    <x v="89"/>
    <x v="3"/>
    <n v="5"/>
    <n v="5"/>
    <n v="5"/>
    <n v="0"/>
    <n v="0"/>
  </r>
  <r>
    <x v="90"/>
    <x v="2"/>
    <n v="1"/>
    <n v="1"/>
    <n v="1"/>
    <n v="0"/>
    <n v="0"/>
  </r>
  <r>
    <x v="90"/>
    <x v="3"/>
    <n v="3"/>
    <n v="3"/>
    <n v="1"/>
    <n v="2"/>
    <n v="0"/>
  </r>
  <r>
    <x v="90"/>
    <x v="1"/>
    <n v="1"/>
    <n v="1"/>
    <n v="1"/>
    <n v="0"/>
    <n v="0"/>
  </r>
  <r>
    <x v="91"/>
    <x v="1"/>
    <n v="4"/>
    <n v="4"/>
    <n v="3"/>
    <n v="1"/>
    <n v="0"/>
  </r>
  <r>
    <x v="91"/>
    <x v="4"/>
    <n v="15"/>
    <n v="15"/>
    <n v="11"/>
    <n v="4"/>
    <n v="0"/>
  </r>
  <r>
    <x v="91"/>
    <x v="2"/>
    <n v="5"/>
    <n v="5"/>
    <n v="4"/>
    <n v="1"/>
    <n v="0"/>
  </r>
  <r>
    <x v="91"/>
    <x v="3"/>
    <n v="8"/>
    <n v="7"/>
    <n v="5"/>
    <n v="2"/>
    <n v="0"/>
  </r>
  <r>
    <x v="92"/>
    <x v="2"/>
    <n v="1"/>
    <n v="1"/>
    <n v="1"/>
    <n v="0"/>
    <n v="0"/>
  </r>
  <r>
    <x v="92"/>
    <x v="4"/>
    <n v="3"/>
    <n v="3"/>
    <n v="2"/>
    <n v="1"/>
    <n v="0"/>
  </r>
  <r>
    <x v="95"/>
    <x v="3"/>
    <n v="3"/>
    <n v="3"/>
    <n v="3"/>
    <n v="0"/>
    <n v="0"/>
  </r>
  <r>
    <x v="95"/>
    <x v="1"/>
    <n v="4"/>
    <n v="4"/>
    <n v="4"/>
    <n v="0"/>
    <n v="0"/>
  </r>
  <r>
    <x v="95"/>
    <x v="4"/>
    <n v="3"/>
    <n v="3"/>
    <n v="3"/>
    <n v="0"/>
    <n v="0"/>
  </r>
  <r>
    <x v="95"/>
    <x v="2"/>
    <n v="1"/>
    <n v="1"/>
    <n v="1"/>
    <n v="0"/>
    <n v="0"/>
  </r>
  <r>
    <x v="96"/>
    <x v="3"/>
    <n v="2"/>
    <n v="2"/>
    <n v="2"/>
    <n v="0"/>
    <n v="0"/>
  </r>
  <r>
    <x v="97"/>
    <x v="2"/>
    <n v="9"/>
    <n v="9"/>
    <n v="8"/>
    <n v="1"/>
    <n v="0"/>
  </r>
  <r>
    <x v="97"/>
    <x v="1"/>
    <n v="4"/>
    <n v="4"/>
    <n v="4"/>
    <n v="0"/>
    <n v="0"/>
  </r>
  <r>
    <x v="97"/>
    <x v="3"/>
    <n v="7"/>
    <n v="7"/>
    <n v="6"/>
    <n v="1"/>
    <n v="0"/>
  </r>
  <r>
    <x v="97"/>
    <x v="4"/>
    <n v="7"/>
    <n v="7"/>
    <n v="5"/>
    <n v="2"/>
    <n v="0"/>
  </r>
  <r>
    <x v="98"/>
    <x v="3"/>
    <n v="20"/>
    <n v="18"/>
    <n v="14"/>
    <n v="4"/>
    <n v="0"/>
  </r>
  <r>
    <x v="98"/>
    <x v="4"/>
    <n v="21"/>
    <n v="21"/>
    <n v="18"/>
    <n v="3"/>
    <n v="0"/>
  </r>
  <r>
    <x v="98"/>
    <x v="1"/>
    <n v="14"/>
    <n v="14"/>
    <n v="14"/>
    <n v="0"/>
    <n v="0"/>
  </r>
  <r>
    <x v="98"/>
    <x v="2"/>
    <n v="19"/>
    <n v="19"/>
    <n v="17"/>
    <n v="2"/>
    <n v="0"/>
  </r>
  <r>
    <x v="99"/>
    <x v="3"/>
    <n v="1"/>
    <n v="1"/>
    <n v="1"/>
    <n v="0"/>
    <n v="0"/>
  </r>
  <r>
    <x v="99"/>
    <x v="4"/>
    <n v="4"/>
    <n v="4"/>
    <n v="3"/>
    <n v="1"/>
    <n v="0"/>
  </r>
  <r>
    <x v="100"/>
    <x v="0"/>
    <n v="5"/>
    <n v="4"/>
    <n v="1"/>
    <n v="3"/>
    <n v="0"/>
  </r>
  <r>
    <x v="100"/>
    <x v="2"/>
    <n v="30"/>
    <n v="30"/>
    <n v="24"/>
    <n v="6"/>
    <n v="0"/>
  </r>
  <r>
    <x v="100"/>
    <x v="1"/>
    <n v="14"/>
    <n v="14"/>
    <n v="8"/>
    <n v="6"/>
    <n v="0"/>
  </r>
  <r>
    <x v="100"/>
    <x v="3"/>
    <n v="11"/>
    <n v="10"/>
    <n v="9"/>
    <n v="1"/>
    <n v="0"/>
  </r>
  <r>
    <x v="100"/>
    <x v="4"/>
    <n v="12"/>
    <n v="12"/>
    <n v="9"/>
    <n v="3"/>
    <n v="0"/>
  </r>
  <r>
    <x v="101"/>
    <x v="1"/>
    <n v="2"/>
    <n v="2"/>
    <n v="2"/>
    <n v="0"/>
    <n v="0"/>
  </r>
  <r>
    <x v="101"/>
    <x v="4"/>
    <n v="3"/>
    <n v="3"/>
    <n v="2"/>
    <n v="1"/>
    <n v="0"/>
  </r>
  <r>
    <x v="101"/>
    <x v="2"/>
    <n v="2"/>
    <n v="2"/>
    <n v="1"/>
    <n v="1"/>
    <n v="0"/>
  </r>
  <r>
    <x v="101"/>
    <x v="3"/>
    <n v="9"/>
    <n v="8"/>
    <n v="6"/>
    <n v="2"/>
    <n v="0"/>
  </r>
  <r>
    <x v="102"/>
    <x v="2"/>
    <n v="6"/>
    <n v="6"/>
    <n v="4"/>
    <n v="2"/>
    <n v="0"/>
  </r>
  <r>
    <x v="102"/>
    <x v="4"/>
    <n v="9"/>
    <n v="9"/>
    <n v="9"/>
    <n v="0"/>
    <n v="0"/>
  </r>
  <r>
    <x v="102"/>
    <x v="1"/>
    <n v="2"/>
    <n v="2"/>
    <n v="2"/>
    <n v="0"/>
    <n v="0"/>
  </r>
  <r>
    <x v="102"/>
    <x v="3"/>
    <n v="13"/>
    <n v="11"/>
    <n v="8"/>
    <n v="3"/>
    <n v="0"/>
  </r>
  <r>
    <x v="103"/>
    <x v="4"/>
    <n v="8"/>
    <n v="8"/>
    <n v="8"/>
    <n v="0"/>
    <n v="0"/>
  </r>
  <r>
    <x v="103"/>
    <x v="2"/>
    <n v="17"/>
    <n v="16"/>
    <n v="14"/>
    <n v="2"/>
    <n v="0"/>
  </r>
  <r>
    <x v="103"/>
    <x v="3"/>
    <n v="9"/>
    <n v="9"/>
    <n v="8"/>
    <n v="1"/>
    <n v="0"/>
  </r>
  <r>
    <x v="103"/>
    <x v="1"/>
    <n v="2"/>
    <n v="1"/>
    <n v="0"/>
    <n v="1"/>
    <n v="0"/>
  </r>
  <r>
    <x v="104"/>
    <x v="0"/>
    <n v="2"/>
    <n v="2"/>
    <n v="1"/>
    <n v="1"/>
    <n v="0"/>
  </r>
  <r>
    <x v="104"/>
    <x v="1"/>
    <n v="3"/>
    <n v="3"/>
    <n v="2"/>
    <n v="1"/>
    <n v="0"/>
  </r>
  <r>
    <x v="104"/>
    <x v="3"/>
    <n v="2"/>
    <n v="2"/>
    <n v="1"/>
    <n v="1"/>
    <n v="0"/>
  </r>
  <r>
    <x v="104"/>
    <x v="4"/>
    <n v="2"/>
    <n v="2"/>
    <n v="2"/>
    <n v="0"/>
    <n v="0"/>
  </r>
  <r>
    <x v="104"/>
    <x v="2"/>
    <n v="1"/>
    <n v="1"/>
    <n v="1"/>
    <n v="0"/>
    <n v="0"/>
  </r>
  <r>
    <x v="105"/>
    <x v="2"/>
    <n v="3"/>
    <n v="3"/>
    <n v="2"/>
    <n v="1"/>
    <n v="0"/>
  </r>
  <r>
    <x v="105"/>
    <x v="3"/>
    <n v="5"/>
    <n v="5"/>
    <n v="2"/>
    <n v="3"/>
    <n v="0"/>
  </r>
  <r>
    <x v="105"/>
    <x v="4"/>
    <n v="4"/>
    <n v="4"/>
    <n v="3"/>
    <n v="1"/>
    <n v="0"/>
  </r>
  <r>
    <x v="106"/>
    <x v="3"/>
    <n v="5"/>
    <n v="5"/>
    <n v="5"/>
    <n v="0"/>
    <n v="0"/>
  </r>
  <r>
    <x v="106"/>
    <x v="4"/>
    <n v="5"/>
    <n v="5"/>
    <n v="3"/>
    <n v="2"/>
    <n v="0"/>
  </r>
  <r>
    <x v="106"/>
    <x v="2"/>
    <n v="2"/>
    <n v="2"/>
    <n v="2"/>
    <n v="0"/>
    <n v="0"/>
  </r>
  <r>
    <x v="106"/>
    <x v="1"/>
    <n v="1"/>
    <n v="1"/>
    <n v="1"/>
    <n v="0"/>
    <n v="0"/>
  </r>
  <r>
    <x v="107"/>
    <x v="4"/>
    <n v="2"/>
    <n v="2"/>
    <n v="2"/>
    <n v="0"/>
    <n v="0"/>
  </r>
  <r>
    <x v="107"/>
    <x v="3"/>
    <n v="4"/>
    <n v="4"/>
    <n v="4"/>
    <n v="0"/>
    <n v="0"/>
  </r>
  <r>
    <x v="107"/>
    <x v="2"/>
    <n v="1"/>
    <n v="1"/>
    <n v="1"/>
    <n v="0"/>
    <n v="0"/>
  </r>
  <r>
    <x v="107"/>
    <x v="1"/>
    <n v="1"/>
    <n v="1"/>
    <n v="1"/>
    <n v="0"/>
    <n v="0"/>
  </r>
  <r>
    <x v="108"/>
    <x v="3"/>
    <n v="5"/>
    <n v="5"/>
    <n v="4"/>
    <n v="1"/>
    <n v="0"/>
  </r>
  <r>
    <x v="108"/>
    <x v="2"/>
    <n v="5"/>
    <n v="5"/>
    <n v="3"/>
    <n v="2"/>
    <n v="0"/>
  </r>
  <r>
    <x v="108"/>
    <x v="0"/>
    <n v="1"/>
    <n v="0"/>
    <n v="0"/>
    <n v="0"/>
    <n v="0"/>
  </r>
  <r>
    <x v="108"/>
    <x v="1"/>
    <n v="3"/>
    <n v="3"/>
    <n v="2"/>
    <n v="1"/>
    <n v="0"/>
  </r>
  <r>
    <x v="108"/>
    <x v="4"/>
    <n v="6"/>
    <n v="6"/>
    <n v="6"/>
    <n v="0"/>
    <n v="0"/>
  </r>
  <r>
    <x v="109"/>
    <x v="0"/>
    <n v="2"/>
    <n v="2"/>
    <n v="2"/>
    <n v="0"/>
    <n v="0"/>
  </r>
  <r>
    <x v="109"/>
    <x v="1"/>
    <n v="8"/>
    <n v="8"/>
    <n v="7"/>
    <n v="1"/>
    <n v="0"/>
  </r>
  <r>
    <x v="109"/>
    <x v="4"/>
    <n v="7"/>
    <n v="7"/>
    <n v="6"/>
    <n v="1"/>
    <n v="0"/>
  </r>
  <r>
    <x v="109"/>
    <x v="2"/>
    <n v="12"/>
    <n v="12"/>
    <n v="10"/>
    <n v="2"/>
    <n v="0"/>
  </r>
  <r>
    <x v="109"/>
    <x v="3"/>
    <n v="37"/>
    <n v="37"/>
    <n v="19"/>
    <n v="18"/>
    <n v="0"/>
  </r>
  <r>
    <x v="110"/>
    <x v="4"/>
    <n v="1"/>
    <n v="1"/>
    <n v="1"/>
    <n v="0"/>
    <n v="0"/>
  </r>
  <r>
    <x v="111"/>
    <x v="4"/>
    <n v="55"/>
    <n v="55"/>
    <n v="44"/>
    <n v="11"/>
    <n v="0"/>
  </r>
  <r>
    <x v="111"/>
    <x v="0"/>
    <n v="1"/>
    <n v="1"/>
    <n v="1"/>
    <n v="0"/>
    <n v="0"/>
  </r>
  <r>
    <x v="111"/>
    <x v="1"/>
    <n v="14"/>
    <n v="14"/>
    <n v="14"/>
    <n v="0"/>
    <n v="0"/>
  </r>
  <r>
    <x v="111"/>
    <x v="3"/>
    <n v="8"/>
    <n v="5"/>
    <n v="3"/>
    <n v="2"/>
    <n v="0"/>
  </r>
  <r>
    <x v="111"/>
    <x v="2"/>
    <n v="44"/>
    <n v="44"/>
    <n v="32"/>
    <n v="12"/>
    <n v="0"/>
  </r>
  <r>
    <x v="112"/>
    <x v="2"/>
    <n v="8"/>
    <n v="8"/>
    <n v="8"/>
    <n v="0"/>
    <n v="0"/>
  </r>
  <r>
    <x v="112"/>
    <x v="4"/>
    <n v="7"/>
    <n v="7"/>
    <n v="7"/>
    <n v="0"/>
    <n v="0"/>
  </r>
  <r>
    <x v="112"/>
    <x v="3"/>
    <n v="5"/>
    <n v="5"/>
    <n v="4"/>
    <n v="1"/>
    <n v="0"/>
  </r>
  <r>
    <x v="112"/>
    <x v="1"/>
    <n v="3"/>
    <n v="3"/>
    <n v="3"/>
    <n v="0"/>
    <n v="0"/>
  </r>
  <r>
    <x v="113"/>
    <x v="3"/>
    <n v="2"/>
    <n v="2"/>
    <n v="2"/>
    <n v="0"/>
    <n v="0"/>
  </r>
  <r>
    <x v="113"/>
    <x v="4"/>
    <n v="1"/>
    <n v="1"/>
    <n v="1"/>
    <n v="0"/>
    <n v="0"/>
  </r>
  <r>
    <x v="114"/>
    <x v="3"/>
    <n v="10"/>
    <n v="10"/>
    <n v="9"/>
    <n v="1"/>
    <n v="0"/>
  </r>
  <r>
    <x v="114"/>
    <x v="0"/>
    <n v="1"/>
    <n v="1"/>
    <n v="1"/>
    <n v="0"/>
    <n v="0"/>
  </r>
  <r>
    <x v="114"/>
    <x v="4"/>
    <n v="3"/>
    <n v="3"/>
    <n v="3"/>
    <n v="0"/>
    <n v="0"/>
  </r>
  <r>
    <x v="115"/>
    <x v="0"/>
    <n v="4"/>
    <n v="4"/>
    <n v="4"/>
    <n v="0"/>
    <n v="0"/>
  </r>
  <r>
    <x v="115"/>
    <x v="3"/>
    <n v="1"/>
    <n v="0"/>
    <n v="0"/>
    <n v="0"/>
    <n v="0"/>
  </r>
  <r>
    <x v="116"/>
    <x v="2"/>
    <n v="6"/>
    <n v="6"/>
    <n v="6"/>
    <n v="0"/>
    <n v="0"/>
  </r>
  <r>
    <x v="116"/>
    <x v="4"/>
    <n v="2"/>
    <n v="2"/>
    <n v="2"/>
    <n v="0"/>
    <n v="0"/>
  </r>
  <r>
    <x v="116"/>
    <x v="3"/>
    <n v="7"/>
    <n v="7"/>
    <n v="7"/>
    <n v="0"/>
    <n v="0"/>
  </r>
  <r>
    <x v="117"/>
    <x v="0"/>
    <n v="1"/>
    <n v="0"/>
    <n v="0"/>
    <n v="0"/>
    <n v="0"/>
  </r>
  <r>
    <x v="117"/>
    <x v="2"/>
    <n v="7"/>
    <n v="7"/>
    <n v="7"/>
    <n v="0"/>
    <n v="0"/>
  </r>
  <r>
    <x v="117"/>
    <x v="1"/>
    <n v="4"/>
    <n v="4"/>
    <n v="3"/>
    <n v="1"/>
    <n v="0"/>
  </r>
  <r>
    <x v="117"/>
    <x v="3"/>
    <n v="14"/>
    <n v="13"/>
    <n v="12"/>
    <n v="1"/>
    <n v="0"/>
  </r>
  <r>
    <x v="117"/>
    <x v="4"/>
    <n v="9"/>
    <n v="9"/>
    <n v="7"/>
    <n v="2"/>
    <n v="0"/>
  </r>
  <r>
    <x v="95"/>
    <x v="1"/>
    <n v="8"/>
    <n v="8"/>
    <n v="8"/>
    <n v="0"/>
    <n v="0"/>
  </r>
  <r>
    <x v="95"/>
    <x v="3"/>
    <n v="2"/>
    <n v="2"/>
    <n v="2"/>
    <n v="0"/>
    <n v="0"/>
  </r>
  <r>
    <x v="95"/>
    <x v="4"/>
    <n v="1"/>
    <n v="1"/>
    <n v="1"/>
    <n v="0"/>
    <n v="0"/>
  </r>
  <r>
    <x v="95"/>
    <x v="2"/>
    <n v="2"/>
    <n v="2"/>
    <n v="2"/>
    <n v="0"/>
    <n v="0"/>
  </r>
  <r>
    <x v="97"/>
    <x v="1"/>
    <n v="2"/>
    <n v="2"/>
    <n v="2"/>
    <n v="0"/>
    <n v="0"/>
  </r>
  <r>
    <x v="97"/>
    <x v="2"/>
    <n v="9"/>
    <n v="9"/>
    <n v="8"/>
    <n v="1"/>
    <n v="0"/>
  </r>
  <r>
    <x v="97"/>
    <x v="3"/>
    <n v="12"/>
    <n v="11"/>
    <n v="10"/>
    <n v="1"/>
    <n v="1"/>
  </r>
  <r>
    <x v="97"/>
    <x v="4"/>
    <n v="4"/>
    <n v="4"/>
    <n v="3"/>
    <n v="1"/>
    <n v="0"/>
  </r>
  <r>
    <x v="98"/>
    <x v="3"/>
    <n v="9"/>
    <n v="9"/>
    <n v="7"/>
    <n v="2"/>
    <n v="0"/>
  </r>
  <r>
    <x v="98"/>
    <x v="1"/>
    <n v="6"/>
    <n v="6"/>
    <n v="5"/>
    <n v="1"/>
    <n v="0"/>
  </r>
  <r>
    <x v="98"/>
    <x v="4"/>
    <n v="7"/>
    <n v="7"/>
    <n v="7"/>
    <n v="0"/>
    <n v="0"/>
  </r>
  <r>
    <x v="98"/>
    <x v="2"/>
    <n v="14"/>
    <n v="14"/>
    <n v="12"/>
    <n v="2"/>
    <n v="0"/>
  </r>
  <r>
    <x v="99"/>
    <x v="2"/>
    <n v="1"/>
    <n v="1"/>
    <n v="1"/>
    <n v="0"/>
    <n v="0"/>
  </r>
  <r>
    <x v="99"/>
    <x v="4"/>
    <n v="1"/>
    <n v="1"/>
    <n v="1"/>
    <n v="0"/>
    <n v="0"/>
  </r>
  <r>
    <x v="99"/>
    <x v="3"/>
    <n v="4"/>
    <n v="4"/>
    <n v="3"/>
    <n v="1"/>
    <n v="0"/>
  </r>
  <r>
    <x v="100"/>
    <x v="1"/>
    <n v="8"/>
    <n v="8"/>
    <n v="8"/>
    <n v="0"/>
    <n v="0"/>
  </r>
  <r>
    <x v="100"/>
    <x v="0"/>
    <n v="1"/>
    <n v="0"/>
    <n v="0"/>
    <n v="0"/>
    <n v="0"/>
  </r>
  <r>
    <x v="100"/>
    <x v="2"/>
    <n v="21"/>
    <n v="21"/>
    <n v="16"/>
    <n v="5"/>
    <n v="0"/>
  </r>
  <r>
    <x v="100"/>
    <x v="3"/>
    <n v="17"/>
    <n v="17"/>
    <n v="15"/>
    <n v="2"/>
    <n v="0"/>
  </r>
  <r>
    <x v="100"/>
    <x v="4"/>
    <n v="15"/>
    <n v="15"/>
    <n v="9"/>
    <n v="6"/>
    <n v="0"/>
  </r>
  <r>
    <x v="101"/>
    <x v="4"/>
    <n v="4"/>
    <n v="4"/>
    <n v="4"/>
    <n v="0"/>
    <n v="0"/>
  </r>
  <r>
    <x v="101"/>
    <x v="3"/>
    <n v="6"/>
    <n v="6"/>
    <n v="4"/>
    <n v="2"/>
    <n v="0"/>
  </r>
  <r>
    <x v="102"/>
    <x v="2"/>
    <n v="6"/>
    <n v="6"/>
    <n v="6"/>
    <n v="0"/>
    <n v="0"/>
  </r>
  <r>
    <x v="102"/>
    <x v="4"/>
    <n v="7"/>
    <n v="7"/>
    <n v="7"/>
    <n v="0"/>
    <n v="0"/>
  </r>
  <r>
    <x v="102"/>
    <x v="1"/>
    <n v="7"/>
    <n v="7"/>
    <n v="6"/>
    <n v="1"/>
    <n v="0"/>
  </r>
  <r>
    <x v="102"/>
    <x v="3"/>
    <n v="10"/>
    <n v="8"/>
    <n v="4"/>
    <n v="4"/>
    <n v="0"/>
  </r>
  <r>
    <x v="103"/>
    <x v="4"/>
    <n v="2"/>
    <n v="2"/>
    <n v="2"/>
    <n v="0"/>
    <n v="0"/>
  </r>
  <r>
    <x v="103"/>
    <x v="1"/>
    <n v="6"/>
    <n v="5"/>
    <n v="2"/>
    <n v="3"/>
    <n v="0"/>
  </r>
  <r>
    <x v="103"/>
    <x v="3"/>
    <n v="10"/>
    <n v="8"/>
    <n v="7"/>
    <n v="1"/>
    <n v="0"/>
  </r>
  <r>
    <x v="103"/>
    <x v="2"/>
    <n v="9"/>
    <n v="9"/>
    <n v="4"/>
    <n v="5"/>
    <n v="0"/>
  </r>
  <r>
    <x v="104"/>
    <x v="1"/>
    <n v="4"/>
    <n v="4"/>
    <n v="4"/>
    <n v="0"/>
    <n v="0"/>
  </r>
  <r>
    <x v="104"/>
    <x v="3"/>
    <n v="2"/>
    <n v="2"/>
    <n v="1"/>
    <n v="1"/>
    <n v="0"/>
  </r>
  <r>
    <x v="104"/>
    <x v="4"/>
    <n v="5"/>
    <n v="5"/>
    <n v="3"/>
    <n v="2"/>
    <n v="0"/>
  </r>
  <r>
    <x v="104"/>
    <x v="2"/>
    <n v="1"/>
    <n v="1"/>
    <n v="1"/>
    <n v="0"/>
    <n v="0"/>
  </r>
  <r>
    <x v="105"/>
    <x v="2"/>
    <n v="5"/>
    <n v="5"/>
    <n v="4"/>
    <n v="1"/>
    <n v="0"/>
  </r>
  <r>
    <x v="105"/>
    <x v="3"/>
    <n v="3"/>
    <n v="3"/>
    <n v="2"/>
    <n v="1"/>
    <n v="0"/>
  </r>
  <r>
    <x v="105"/>
    <x v="1"/>
    <n v="6"/>
    <n v="6"/>
    <n v="3"/>
    <n v="3"/>
    <n v="0"/>
  </r>
  <r>
    <x v="105"/>
    <x v="4"/>
    <n v="6"/>
    <n v="5"/>
    <n v="5"/>
    <n v="0"/>
    <n v="0"/>
  </r>
  <r>
    <x v="106"/>
    <x v="3"/>
    <n v="3"/>
    <n v="3"/>
    <n v="2"/>
    <n v="1"/>
    <n v="0"/>
  </r>
  <r>
    <x v="106"/>
    <x v="4"/>
    <n v="6"/>
    <n v="6"/>
    <n v="6"/>
    <n v="0"/>
    <n v="0"/>
  </r>
  <r>
    <x v="106"/>
    <x v="1"/>
    <n v="1"/>
    <n v="1"/>
    <n v="1"/>
    <n v="0"/>
    <n v="0"/>
  </r>
  <r>
    <x v="107"/>
    <x v="4"/>
    <n v="2"/>
    <n v="2"/>
    <n v="1"/>
    <n v="1"/>
    <n v="0"/>
  </r>
  <r>
    <x v="107"/>
    <x v="3"/>
    <n v="2"/>
    <n v="2"/>
    <n v="2"/>
    <n v="0"/>
    <n v="0"/>
  </r>
  <r>
    <x v="107"/>
    <x v="2"/>
    <n v="2"/>
    <n v="2"/>
    <n v="2"/>
    <n v="0"/>
    <n v="0"/>
  </r>
  <r>
    <x v="108"/>
    <x v="2"/>
    <n v="1"/>
    <n v="1"/>
    <n v="1"/>
    <n v="0"/>
    <n v="0"/>
  </r>
  <r>
    <x v="108"/>
    <x v="3"/>
    <n v="2"/>
    <n v="1"/>
    <n v="0"/>
    <n v="1"/>
    <n v="0"/>
  </r>
  <r>
    <x v="108"/>
    <x v="4"/>
    <n v="8"/>
    <n v="8"/>
    <n v="4"/>
    <n v="4"/>
    <n v="0"/>
  </r>
  <r>
    <x v="108"/>
    <x v="1"/>
    <n v="3"/>
    <n v="3"/>
    <n v="2"/>
    <n v="1"/>
    <n v="0"/>
  </r>
  <r>
    <x v="109"/>
    <x v="1"/>
    <n v="7"/>
    <n v="7"/>
    <n v="6"/>
    <n v="1"/>
    <n v="0"/>
  </r>
  <r>
    <x v="109"/>
    <x v="4"/>
    <n v="7"/>
    <n v="7"/>
    <n v="5"/>
    <n v="2"/>
    <n v="0"/>
  </r>
  <r>
    <x v="109"/>
    <x v="2"/>
    <n v="18"/>
    <n v="18"/>
    <n v="11"/>
    <n v="7"/>
    <n v="0"/>
  </r>
  <r>
    <x v="109"/>
    <x v="3"/>
    <n v="22"/>
    <n v="22"/>
    <n v="15"/>
    <n v="7"/>
    <n v="0"/>
  </r>
  <r>
    <x v="110"/>
    <x v="1"/>
    <n v="1"/>
    <n v="1"/>
    <n v="1"/>
    <n v="0"/>
    <n v="0"/>
  </r>
  <r>
    <x v="110"/>
    <x v="2"/>
    <n v="1"/>
    <n v="1"/>
    <n v="1"/>
    <n v="0"/>
    <n v="0"/>
  </r>
  <r>
    <x v="111"/>
    <x v="4"/>
    <n v="27"/>
    <n v="27"/>
    <n v="26"/>
    <n v="1"/>
    <n v="0"/>
  </r>
  <r>
    <x v="111"/>
    <x v="1"/>
    <n v="11"/>
    <n v="11"/>
    <n v="10"/>
    <n v="1"/>
    <n v="0"/>
  </r>
  <r>
    <x v="111"/>
    <x v="3"/>
    <n v="2"/>
    <n v="2"/>
    <n v="2"/>
    <n v="0"/>
    <n v="0"/>
  </r>
  <r>
    <x v="111"/>
    <x v="2"/>
    <n v="12"/>
    <n v="12"/>
    <n v="12"/>
    <n v="0"/>
    <n v="0"/>
  </r>
  <r>
    <x v="112"/>
    <x v="2"/>
    <n v="7"/>
    <n v="7"/>
    <n v="7"/>
    <n v="0"/>
    <n v="0"/>
  </r>
  <r>
    <x v="112"/>
    <x v="3"/>
    <n v="3"/>
    <n v="3"/>
    <n v="3"/>
    <n v="0"/>
    <n v="0"/>
  </r>
  <r>
    <x v="112"/>
    <x v="4"/>
    <n v="9"/>
    <n v="9"/>
    <n v="9"/>
    <n v="0"/>
    <n v="0"/>
  </r>
  <r>
    <x v="112"/>
    <x v="1"/>
    <n v="5"/>
    <n v="5"/>
    <n v="5"/>
    <n v="0"/>
    <n v="0"/>
  </r>
  <r>
    <x v="113"/>
    <x v="3"/>
    <n v="1"/>
    <n v="1"/>
    <n v="1"/>
    <n v="0"/>
    <n v="0"/>
  </r>
  <r>
    <x v="114"/>
    <x v="3"/>
    <n v="6"/>
    <n v="5"/>
    <n v="3"/>
    <n v="2"/>
    <n v="1"/>
  </r>
  <r>
    <x v="114"/>
    <x v="4"/>
    <n v="2"/>
    <n v="2"/>
    <n v="2"/>
    <n v="0"/>
    <n v="0"/>
  </r>
  <r>
    <x v="115"/>
    <x v="2"/>
    <n v="1"/>
    <n v="1"/>
    <n v="1"/>
    <n v="0"/>
    <n v="1"/>
  </r>
  <r>
    <x v="115"/>
    <x v="3"/>
    <n v="1"/>
    <n v="1"/>
    <n v="1"/>
    <n v="0"/>
    <n v="0"/>
  </r>
  <r>
    <x v="116"/>
    <x v="4"/>
    <n v="1"/>
    <n v="1"/>
    <n v="1"/>
    <n v="0"/>
    <n v="0"/>
  </r>
  <r>
    <x v="116"/>
    <x v="2"/>
    <n v="5"/>
    <n v="5"/>
    <n v="5"/>
    <n v="0"/>
    <n v="0"/>
  </r>
  <r>
    <x v="116"/>
    <x v="3"/>
    <n v="7"/>
    <n v="7"/>
    <n v="7"/>
    <n v="0"/>
    <n v="0"/>
  </r>
  <r>
    <x v="117"/>
    <x v="2"/>
    <n v="9"/>
    <n v="9"/>
    <n v="8"/>
    <n v="1"/>
    <n v="0"/>
  </r>
  <r>
    <x v="117"/>
    <x v="3"/>
    <n v="18"/>
    <n v="18"/>
    <n v="12"/>
    <n v="6"/>
    <n v="0"/>
  </r>
  <r>
    <x v="117"/>
    <x v="1"/>
    <n v="5"/>
    <n v="5"/>
    <n v="5"/>
    <n v="0"/>
    <n v="0"/>
  </r>
  <r>
    <x v="117"/>
    <x v="4"/>
    <n v="9"/>
    <n v="9"/>
    <n v="8"/>
    <n v="1"/>
    <n v="0"/>
  </r>
  <r>
    <x v="118"/>
    <x v="0"/>
    <n v="1"/>
    <n v="1"/>
    <n v="1"/>
    <n v="0"/>
    <n v="0"/>
  </r>
  <r>
    <x v="118"/>
    <x v="2"/>
    <n v="6"/>
    <n v="6"/>
    <n v="4"/>
    <n v="2"/>
    <n v="0"/>
  </r>
  <r>
    <x v="118"/>
    <x v="4"/>
    <n v="11"/>
    <n v="11"/>
    <n v="8"/>
    <n v="3"/>
    <n v="0"/>
  </r>
  <r>
    <x v="118"/>
    <x v="1"/>
    <n v="8"/>
    <n v="8"/>
    <n v="6"/>
    <n v="2"/>
    <n v="0"/>
  </r>
  <r>
    <x v="118"/>
    <x v="3"/>
    <n v="2"/>
    <n v="2"/>
    <n v="2"/>
    <n v="0"/>
    <n v="0"/>
  </r>
  <r>
    <x v="119"/>
    <x v="1"/>
    <n v="2"/>
    <n v="2"/>
    <n v="2"/>
    <n v="0"/>
    <n v="0"/>
  </r>
  <r>
    <x v="119"/>
    <x v="4"/>
    <n v="12"/>
    <n v="12"/>
    <n v="7"/>
    <n v="5"/>
    <n v="0"/>
  </r>
  <r>
    <x v="119"/>
    <x v="2"/>
    <n v="2"/>
    <n v="2"/>
    <n v="2"/>
    <n v="0"/>
    <n v="0"/>
  </r>
  <r>
    <x v="119"/>
    <x v="3"/>
    <n v="21"/>
    <n v="21"/>
    <n v="13"/>
    <n v="8"/>
    <n v="0"/>
  </r>
  <r>
    <x v="120"/>
    <x v="3"/>
    <n v="3"/>
    <n v="3"/>
    <n v="3"/>
    <n v="0"/>
    <n v="0"/>
  </r>
  <r>
    <x v="120"/>
    <x v="2"/>
    <n v="1"/>
    <n v="1"/>
    <n v="1"/>
    <n v="0"/>
    <n v="0"/>
  </r>
  <r>
    <x v="121"/>
    <x v="1"/>
    <n v="10"/>
    <n v="9"/>
    <n v="8"/>
    <n v="1"/>
    <n v="0"/>
  </r>
  <r>
    <x v="121"/>
    <x v="3"/>
    <n v="17"/>
    <n v="15"/>
    <n v="12"/>
    <n v="3"/>
    <n v="0"/>
  </r>
  <r>
    <x v="121"/>
    <x v="0"/>
    <n v="1"/>
    <n v="1"/>
    <n v="1"/>
    <n v="0"/>
    <n v="0"/>
  </r>
  <r>
    <x v="121"/>
    <x v="4"/>
    <n v="22"/>
    <n v="22"/>
    <n v="22"/>
    <n v="0"/>
    <n v="0"/>
  </r>
  <r>
    <x v="121"/>
    <x v="2"/>
    <n v="33"/>
    <n v="31"/>
    <n v="30"/>
    <n v="1"/>
    <n v="0"/>
  </r>
  <r>
    <x v="122"/>
    <x v="0"/>
    <n v="4"/>
    <n v="2"/>
    <n v="0"/>
    <n v="2"/>
    <n v="0"/>
  </r>
  <r>
    <x v="122"/>
    <x v="3"/>
    <n v="5"/>
    <n v="5"/>
    <n v="3"/>
    <n v="2"/>
    <n v="0"/>
  </r>
  <r>
    <x v="122"/>
    <x v="1"/>
    <n v="7"/>
    <n v="7"/>
    <n v="4"/>
    <n v="3"/>
    <n v="0"/>
  </r>
  <r>
    <x v="122"/>
    <x v="4"/>
    <n v="9"/>
    <n v="8"/>
    <n v="7"/>
    <n v="1"/>
    <n v="0"/>
  </r>
  <r>
    <x v="122"/>
    <x v="2"/>
    <n v="7"/>
    <n v="7"/>
    <n v="7"/>
    <n v="0"/>
    <n v="0"/>
  </r>
  <r>
    <x v="123"/>
    <x v="0"/>
    <n v="1"/>
    <n v="1"/>
    <n v="0"/>
    <n v="1"/>
    <n v="0"/>
  </r>
  <r>
    <x v="123"/>
    <x v="3"/>
    <n v="6"/>
    <n v="6"/>
    <n v="6"/>
    <n v="0"/>
    <n v="0"/>
  </r>
  <r>
    <x v="123"/>
    <x v="2"/>
    <n v="5"/>
    <n v="5"/>
    <n v="5"/>
    <n v="0"/>
    <n v="0"/>
  </r>
  <r>
    <x v="123"/>
    <x v="1"/>
    <n v="4"/>
    <n v="4"/>
    <n v="3"/>
    <n v="1"/>
    <n v="0"/>
  </r>
  <r>
    <x v="124"/>
    <x v="0"/>
    <n v="1"/>
    <n v="0"/>
    <n v="0"/>
    <n v="0"/>
    <n v="0"/>
  </r>
  <r>
    <x v="124"/>
    <x v="1"/>
    <n v="2"/>
    <n v="2"/>
    <n v="2"/>
    <n v="0"/>
    <n v="0"/>
  </r>
  <r>
    <x v="124"/>
    <x v="2"/>
    <n v="4"/>
    <n v="4"/>
    <n v="3"/>
    <n v="1"/>
    <n v="0"/>
  </r>
  <r>
    <x v="124"/>
    <x v="4"/>
    <n v="7"/>
    <n v="7"/>
    <n v="6"/>
    <n v="1"/>
    <n v="0"/>
  </r>
  <r>
    <x v="125"/>
    <x v="0"/>
    <n v="2"/>
    <n v="0"/>
    <n v="0"/>
    <n v="0"/>
    <n v="0"/>
  </r>
  <r>
    <x v="125"/>
    <x v="3"/>
    <n v="3"/>
    <n v="3"/>
    <n v="2"/>
    <n v="1"/>
    <n v="0"/>
  </r>
  <r>
    <x v="125"/>
    <x v="2"/>
    <n v="1"/>
    <n v="1"/>
    <n v="1"/>
    <n v="0"/>
    <n v="0"/>
  </r>
  <r>
    <x v="125"/>
    <x v="4"/>
    <n v="3"/>
    <n v="3"/>
    <n v="2"/>
    <n v="1"/>
    <n v="0"/>
  </r>
  <r>
    <x v="126"/>
    <x v="3"/>
    <n v="2"/>
    <n v="2"/>
    <n v="1"/>
    <n v="1"/>
    <n v="0"/>
  </r>
  <r>
    <x v="127"/>
    <x v="1"/>
    <n v="9"/>
    <n v="9"/>
    <n v="9"/>
    <n v="0"/>
    <n v="0"/>
  </r>
  <r>
    <x v="127"/>
    <x v="3"/>
    <n v="6"/>
    <n v="6"/>
    <n v="6"/>
    <n v="0"/>
    <n v="0"/>
  </r>
  <r>
    <x v="127"/>
    <x v="4"/>
    <n v="20"/>
    <n v="20"/>
    <n v="17"/>
    <n v="3"/>
    <n v="0"/>
  </r>
  <r>
    <x v="127"/>
    <x v="2"/>
    <n v="9"/>
    <n v="9"/>
    <n v="9"/>
    <n v="0"/>
    <n v="0"/>
  </r>
  <r>
    <x v="128"/>
    <x v="1"/>
    <n v="3"/>
    <n v="3"/>
    <n v="2"/>
    <n v="1"/>
    <n v="0"/>
  </r>
  <r>
    <x v="128"/>
    <x v="2"/>
    <n v="5"/>
    <n v="5"/>
    <n v="5"/>
    <n v="0"/>
    <n v="0"/>
  </r>
  <r>
    <x v="128"/>
    <x v="3"/>
    <n v="11"/>
    <n v="11"/>
    <n v="8"/>
    <n v="3"/>
    <n v="0"/>
  </r>
  <r>
    <x v="129"/>
    <x v="3"/>
    <n v="1"/>
    <n v="1"/>
    <n v="1"/>
    <n v="0"/>
    <n v="0"/>
  </r>
  <r>
    <x v="129"/>
    <x v="4"/>
    <n v="2"/>
    <n v="2"/>
    <n v="1"/>
    <n v="1"/>
    <n v="0"/>
  </r>
  <r>
    <x v="130"/>
    <x v="2"/>
    <n v="8"/>
    <n v="7"/>
    <n v="6"/>
    <n v="1"/>
    <n v="0"/>
  </r>
  <r>
    <x v="130"/>
    <x v="1"/>
    <n v="10"/>
    <n v="10"/>
    <n v="8"/>
    <n v="2"/>
    <n v="0"/>
  </r>
  <r>
    <x v="130"/>
    <x v="3"/>
    <n v="12"/>
    <n v="11"/>
    <n v="10"/>
    <n v="1"/>
    <n v="0"/>
  </r>
  <r>
    <x v="130"/>
    <x v="4"/>
    <n v="17"/>
    <n v="17"/>
    <n v="14"/>
    <n v="3"/>
    <n v="0"/>
  </r>
  <r>
    <x v="131"/>
    <x v="2"/>
    <n v="10"/>
    <n v="10"/>
    <n v="10"/>
    <n v="0"/>
    <n v="0"/>
  </r>
  <r>
    <x v="131"/>
    <x v="3"/>
    <n v="18"/>
    <n v="16"/>
    <n v="13"/>
    <n v="3"/>
    <n v="0"/>
  </r>
  <r>
    <x v="131"/>
    <x v="4"/>
    <n v="13"/>
    <n v="13"/>
    <n v="13"/>
    <n v="0"/>
    <n v="0"/>
  </r>
  <r>
    <x v="132"/>
    <x v="3"/>
    <n v="5"/>
    <n v="5"/>
    <n v="1"/>
    <n v="4"/>
    <n v="0"/>
  </r>
  <r>
    <x v="133"/>
    <x v="4"/>
    <n v="5"/>
    <n v="5"/>
    <n v="5"/>
    <n v="0"/>
    <n v="0"/>
  </r>
  <r>
    <x v="133"/>
    <x v="1"/>
    <n v="9"/>
    <n v="9"/>
    <n v="8"/>
    <n v="1"/>
    <n v="0"/>
  </r>
  <r>
    <x v="133"/>
    <x v="3"/>
    <n v="53"/>
    <n v="45"/>
    <n v="36"/>
    <n v="9"/>
    <n v="2"/>
  </r>
  <r>
    <x v="133"/>
    <x v="0"/>
    <n v="3"/>
    <n v="3"/>
    <n v="3"/>
    <n v="0"/>
    <n v="0"/>
  </r>
  <r>
    <x v="133"/>
    <x v="2"/>
    <n v="41"/>
    <n v="39"/>
    <n v="35"/>
    <n v="4"/>
    <n v="0"/>
  </r>
  <r>
    <x v="134"/>
    <x v="1"/>
    <n v="2"/>
    <n v="2"/>
    <n v="1"/>
    <n v="1"/>
    <n v="0"/>
  </r>
  <r>
    <x v="134"/>
    <x v="4"/>
    <n v="2"/>
    <n v="2"/>
    <n v="2"/>
    <n v="0"/>
    <n v="0"/>
  </r>
  <r>
    <x v="134"/>
    <x v="3"/>
    <n v="1"/>
    <n v="1"/>
    <n v="1"/>
    <n v="0"/>
    <n v="0"/>
  </r>
  <r>
    <x v="134"/>
    <x v="2"/>
    <n v="2"/>
    <n v="2"/>
    <n v="2"/>
    <n v="0"/>
    <n v="0"/>
  </r>
  <r>
    <x v="135"/>
    <x v="0"/>
    <n v="1"/>
    <n v="1"/>
    <n v="0"/>
    <n v="1"/>
    <n v="0"/>
  </r>
  <r>
    <x v="135"/>
    <x v="1"/>
    <n v="3"/>
    <n v="3"/>
    <n v="3"/>
    <n v="0"/>
    <n v="0"/>
  </r>
  <r>
    <x v="135"/>
    <x v="2"/>
    <n v="5"/>
    <n v="5"/>
    <n v="0"/>
    <n v="5"/>
    <n v="0"/>
  </r>
  <r>
    <x v="135"/>
    <x v="4"/>
    <n v="1"/>
    <n v="1"/>
    <n v="1"/>
    <n v="0"/>
    <n v="0"/>
  </r>
  <r>
    <x v="135"/>
    <x v="3"/>
    <n v="8"/>
    <n v="8"/>
    <n v="4"/>
    <n v="4"/>
    <n v="0"/>
  </r>
  <r>
    <x v="118"/>
    <x v="2"/>
    <n v="4"/>
    <n v="4"/>
    <n v="4"/>
    <n v="0"/>
    <n v="0"/>
  </r>
  <r>
    <x v="118"/>
    <x v="4"/>
    <n v="6"/>
    <n v="6"/>
    <n v="6"/>
    <n v="0"/>
    <n v="0"/>
  </r>
  <r>
    <x v="118"/>
    <x v="3"/>
    <n v="4"/>
    <n v="4"/>
    <n v="4"/>
    <n v="0"/>
    <n v="0"/>
  </r>
  <r>
    <x v="118"/>
    <x v="1"/>
    <n v="6"/>
    <n v="6"/>
    <n v="5"/>
    <n v="1"/>
    <n v="0"/>
  </r>
  <r>
    <x v="119"/>
    <x v="1"/>
    <n v="5"/>
    <n v="5"/>
    <n v="3"/>
    <n v="2"/>
    <n v="0"/>
  </r>
  <r>
    <x v="119"/>
    <x v="4"/>
    <n v="4"/>
    <n v="4"/>
    <n v="3"/>
    <n v="1"/>
    <n v="0"/>
  </r>
  <r>
    <x v="119"/>
    <x v="3"/>
    <n v="18"/>
    <n v="17"/>
    <n v="12"/>
    <n v="5"/>
    <n v="0"/>
  </r>
  <r>
    <x v="119"/>
    <x v="2"/>
    <n v="6"/>
    <n v="6"/>
    <n v="5"/>
    <n v="1"/>
    <n v="0"/>
  </r>
  <r>
    <x v="120"/>
    <x v="3"/>
    <n v="1"/>
    <n v="1"/>
    <n v="1"/>
    <n v="0"/>
    <n v="0"/>
  </r>
  <r>
    <x v="120"/>
    <x v="1"/>
    <n v="1"/>
    <n v="1"/>
    <n v="1"/>
    <n v="0"/>
    <n v="0"/>
  </r>
  <r>
    <x v="120"/>
    <x v="4"/>
    <n v="2"/>
    <n v="2"/>
    <n v="1"/>
    <n v="1"/>
    <n v="0"/>
  </r>
  <r>
    <x v="120"/>
    <x v="2"/>
    <n v="2"/>
    <n v="2"/>
    <n v="2"/>
    <n v="0"/>
    <n v="0"/>
  </r>
  <r>
    <x v="121"/>
    <x v="3"/>
    <n v="19"/>
    <n v="18"/>
    <n v="16"/>
    <n v="2"/>
    <n v="0"/>
  </r>
  <r>
    <x v="121"/>
    <x v="1"/>
    <n v="21"/>
    <n v="20"/>
    <n v="14"/>
    <n v="6"/>
    <n v="0"/>
  </r>
  <r>
    <x v="121"/>
    <x v="4"/>
    <n v="18"/>
    <n v="18"/>
    <n v="15"/>
    <n v="3"/>
    <n v="0"/>
  </r>
  <r>
    <x v="121"/>
    <x v="2"/>
    <n v="29"/>
    <n v="28"/>
    <n v="24"/>
    <n v="4"/>
    <n v="0"/>
  </r>
  <r>
    <x v="122"/>
    <x v="1"/>
    <n v="5"/>
    <n v="5"/>
    <n v="5"/>
    <n v="0"/>
    <n v="0"/>
  </r>
  <r>
    <x v="122"/>
    <x v="3"/>
    <n v="5"/>
    <n v="5"/>
    <n v="4"/>
    <n v="1"/>
    <n v="0"/>
  </r>
  <r>
    <x v="122"/>
    <x v="4"/>
    <n v="6"/>
    <n v="6"/>
    <n v="4"/>
    <n v="2"/>
    <n v="0"/>
  </r>
  <r>
    <x v="122"/>
    <x v="2"/>
    <n v="8"/>
    <n v="8"/>
    <n v="7"/>
    <n v="1"/>
    <n v="0"/>
  </r>
  <r>
    <x v="123"/>
    <x v="1"/>
    <n v="11"/>
    <n v="11"/>
    <n v="11"/>
    <n v="0"/>
    <n v="0"/>
  </r>
  <r>
    <x v="123"/>
    <x v="3"/>
    <n v="19"/>
    <n v="19"/>
    <n v="14"/>
    <n v="5"/>
    <n v="0"/>
  </r>
  <r>
    <x v="123"/>
    <x v="2"/>
    <n v="10"/>
    <n v="10"/>
    <n v="9"/>
    <n v="1"/>
    <n v="0"/>
  </r>
  <r>
    <x v="123"/>
    <x v="4"/>
    <n v="11"/>
    <n v="11"/>
    <n v="11"/>
    <n v="0"/>
    <n v="0"/>
  </r>
  <r>
    <x v="124"/>
    <x v="3"/>
    <n v="4"/>
    <n v="4"/>
    <n v="4"/>
    <n v="0"/>
    <n v="0"/>
  </r>
  <r>
    <x v="124"/>
    <x v="1"/>
    <n v="1"/>
    <n v="1"/>
    <n v="1"/>
    <n v="0"/>
    <n v="0"/>
  </r>
  <r>
    <x v="124"/>
    <x v="2"/>
    <n v="4"/>
    <n v="4"/>
    <n v="4"/>
    <n v="0"/>
    <n v="0"/>
  </r>
  <r>
    <x v="124"/>
    <x v="4"/>
    <n v="3"/>
    <n v="3"/>
    <n v="3"/>
    <n v="0"/>
    <n v="0"/>
  </r>
  <r>
    <x v="125"/>
    <x v="2"/>
    <n v="2"/>
    <n v="2"/>
    <n v="2"/>
    <n v="0"/>
    <n v="0"/>
  </r>
  <r>
    <x v="125"/>
    <x v="1"/>
    <n v="3"/>
    <n v="3"/>
    <n v="3"/>
    <n v="0"/>
    <n v="0"/>
  </r>
  <r>
    <x v="125"/>
    <x v="4"/>
    <n v="3"/>
    <n v="3"/>
    <n v="3"/>
    <n v="0"/>
    <n v="0"/>
  </r>
  <r>
    <x v="126"/>
    <x v="3"/>
    <n v="7"/>
    <n v="7"/>
    <n v="7"/>
    <n v="0"/>
    <n v="0"/>
  </r>
  <r>
    <x v="127"/>
    <x v="1"/>
    <n v="9"/>
    <n v="9"/>
    <n v="8"/>
    <n v="1"/>
    <n v="0"/>
  </r>
  <r>
    <x v="127"/>
    <x v="3"/>
    <n v="9"/>
    <n v="7"/>
    <n v="6"/>
    <n v="1"/>
    <n v="0"/>
  </r>
  <r>
    <x v="127"/>
    <x v="4"/>
    <n v="14"/>
    <n v="13"/>
    <n v="13"/>
    <n v="0"/>
    <n v="0"/>
  </r>
  <r>
    <x v="127"/>
    <x v="2"/>
    <n v="11"/>
    <n v="11"/>
    <n v="11"/>
    <n v="0"/>
    <n v="0"/>
  </r>
  <r>
    <x v="128"/>
    <x v="2"/>
    <n v="1"/>
    <n v="1"/>
    <n v="1"/>
    <n v="0"/>
    <n v="0"/>
  </r>
  <r>
    <x v="128"/>
    <x v="1"/>
    <n v="2"/>
    <n v="2"/>
    <n v="1"/>
    <n v="1"/>
    <n v="0"/>
  </r>
  <r>
    <x v="128"/>
    <x v="3"/>
    <n v="2"/>
    <n v="2"/>
    <n v="2"/>
    <n v="0"/>
    <n v="0"/>
  </r>
  <r>
    <x v="129"/>
    <x v="2"/>
    <n v="2"/>
    <n v="2"/>
    <n v="2"/>
    <n v="0"/>
    <n v="0"/>
  </r>
  <r>
    <x v="129"/>
    <x v="3"/>
    <n v="1"/>
    <n v="1"/>
    <n v="1"/>
    <n v="0"/>
    <n v="0"/>
  </r>
  <r>
    <x v="129"/>
    <x v="4"/>
    <n v="3"/>
    <n v="3"/>
    <n v="3"/>
    <n v="0"/>
    <n v="0"/>
  </r>
  <r>
    <x v="130"/>
    <x v="2"/>
    <n v="6"/>
    <n v="6"/>
    <n v="3"/>
    <n v="3"/>
    <n v="0"/>
  </r>
  <r>
    <x v="130"/>
    <x v="1"/>
    <n v="3"/>
    <n v="3"/>
    <n v="3"/>
    <n v="0"/>
    <n v="0"/>
  </r>
  <r>
    <x v="130"/>
    <x v="3"/>
    <n v="8"/>
    <n v="8"/>
    <n v="7"/>
    <n v="1"/>
    <n v="0"/>
  </r>
  <r>
    <x v="130"/>
    <x v="4"/>
    <n v="13"/>
    <n v="13"/>
    <n v="9"/>
    <n v="4"/>
    <n v="0"/>
  </r>
  <r>
    <x v="131"/>
    <x v="2"/>
    <n v="7"/>
    <n v="7"/>
    <n v="7"/>
    <n v="0"/>
    <n v="0"/>
  </r>
  <r>
    <x v="131"/>
    <x v="1"/>
    <n v="2"/>
    <n v="2"/>
    <n v="2"/>
    <n v="0"/>
    <n v="0"/>
  </r>
  <r>
    <x v="131"/>
    <x v="3"/>
    <n v="17"/>
    <n v="16"/>
    <n v="14"/>
    <n v="2"/>
    <n v="0"/>
  </r>
  <r>
    <x v="131"/>
    <x v="4"/>
    <n v="2"/>
    <n v="2"/>
    <n v="2"/>
    <n v="0"/>
    <n v="0"/>
  </r>
  <r>
    <x v="132"/>
    <x v="4"/>
    <n v="1"/>
    <n v="1"/>
    <n v="1"/>
    <n v="0"/>
    <n v="0"/>
  </r>
  <r>
    <x v="132"/>
    <x v="3"/>
    <n v="2"/>
    <n v="2"/>
    <n v="1"/>
    <n v="1"/>
    <n v="0"/>
  </r>
  <r>
    <x v="133"/>
    <x v="1"/>
    <n v="10"/>
    <n v="10"/>
    <n v="8"/>
    <n v="2"/>
    <n v="0"/>
  </r>
  <r>
    <x v="133"/>
    <x v="4"/>
    <n v="7"/>
    <n v="7"/>
    <n v="6"/>
    <n v="1"/>
    <n v="0"/>
  </r>
  <r>
    <x v="133"/>
    <x v="3"/>
    <n v="35"/>
    <n v="30"/>
    <n v="29"/>
    <n v="1"/>
    <n v="2"/>
  </r>
  <r>
    <x v="133"/>
    <x v="2"/>
    <n v="26"/>
    <n v="24"/>
    <n v="19"/>
    <n v="5"/>
    <n v="0"/>
  </r>
  <r>
    <x v="134"/>
    <x v="1"/>
    <n v="1"/>
    <n v="1"/>
    <n v="0"/>
    <n v="1"/>
    <n v="0"/>
  </r>
  <r>
    <x v="134"/>
    <x v="4"/>
    <n v="5"/>
    <n v="5"/>
    <n v="5"/>
    <n v="0"/>
    <n v="0"/>
  </r>
  <r>
    <x v="134"/>
    <x v="3"/>
    <n v="2"/>
    <n v="2"/>
    <n v="1"/>
    <n v="1"/>
    <n v="0"/>
  </r>
  <r>
    <x v="135"/>
    <x v="1"/>
    <n v="7"/>
    <n v="7"/>
    <n v="6"/>
    <n v="1"/>
    <n v="0"/>
  </r>
  <r>
    <x v="135"/>
    <x v="2"/>
    <n v="7"/>
    <n v="7"/>
    <n v="7"/>
    <n v="0"/>
    <n v="0"/>
  </r>
  <r>
    <x v="135"/>
    <x v="3"/>
    <n v="11"/>
    <n v="11"/>
    <n v="9"/>
    <n v="2"/>
    <n v="0"/>
  </r>
  <r>
    <x v="135"/>
    <x v="4"/>
    <n v="2"/>
    <n v="2"/>
    <n v="2"/>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grandTotalCaption="Сумарно  " updatedVersion="4" minRefreshableVersion="3" itemPrintTitles="1" createdVersion="4" indent="0" outline="1" outlineData="1" multipleFieldFilters="0" rowHeaderCaption="Надлежни орган - усаглашени захтеви">
  <location ref="N19:S46" firstHeaderRow="0" firstDataRow="1" firstDataCol="1"/>
  <pivotFields count="7">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7">
        <item x="0"/>
        <item x="1"/>
        <item x="2"/>
        <item x="3"/>
        <item x="4"/>
        <item x="5"/>
        <item t="default"/>
      </items>
    </pivotField>
    <pivotField dataField="1" showAll="0"/>
    <pivotField dataField="1" showAll="0"/>
    <pivotField dataField="1" showAll="0"/>
    <pivotField dataField="1" showAll="0"/>
    <pivotField dataField="1" showAl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те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7">
    <format dxfId="28">
      <pivotArea field="0" type="button" dataOnly="0" labelOnly="1" outline="0" axis="axisRow" fieldPosition="0"/>
    </format>
    <format dxfId="27">
      <pivotArea dataOnly="0" labelOnly="1" outline="0" fieldPosition="0">
        <references count="1">
          <reference field="4294967294" count="5">
            <x v="0"/>
            <x v="1"/>
            <x v="2"/>
            <x v="3"/>
            <x v="4"/>
          </reference>
        </references>
      </pivotArea>
    </format>
    <format dxfId="26">
      <pivotArea field="0" type="button" dataOnly="0" labelOnly="1" outline="0" axis="axisRow" fieldPosition="0"/>
    </format>
    <format dxfId="25">
      <pivotArea field="0" type="button" dataOnly="0" labelOnly="1" outline="0" axis="axisRow" fieldPosition="0"/>
    </format>
    <format dxfId="24">
      <pivotArea dataOnly="0" labelOnly="1" outline="0" fieldPosition="0">
        <references count="1">
          <reference field="4294967294" count="5">
            <x v="0"/>
            <x v="1"/>
            <x v="2"/>
            <x v="3"/>
            <x v="4"/>
          </reference>
        </references>
      </pivotArea>
    </format>
    <format dxfId="23">
      <pivotArea outline="0" collapsedLevelsAreSubtotals="1" fieldPosition="0"/>
    </format>
    <format dxfId="22">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B19:L46" firstHeaderRow="0" firstDataRow="1" firstDataCol="1"/>
  <pivotFields count="12">
    <pivotField axis="axisRow" showAll="0">
      <items count="2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t="default" sd="0"/>
      </items>
    </pivotField>
    <pivotField axis="axisRow" showAll="0">
      <items count="17">
        <item x="13"/>
        <item x="0"/>
        <item x="15"/>
        <item x="14"/>
        <item x="1"/>
        <item x="2"/>
        <item x="3"/>
        <item x="4"/>
        <item x="5"/>
        <item x="6"/>
        <item x="7"/>
        <item x="8"/>
        <item x="9"/>
        <item x="10"/>
        <item x="11"/>
        <item x="12"/>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 % решених захтева" fld="7" baseField="0" baseItem="0" numFmtId="9"/>
    <dataField name="Број позитивно решених захтева" fld="4" baseField="0" baseItem="0"/>
    <dataField name=" % позитивно решених захтева" fld="8" baseField="0" baseItem="0" numFmtId="9"/>
    <dataField name="Број негативно решених захтева" fld="5" baseField="0" baseItem="0"/>
    <dataField name=" % негативно решених захтева" fld="9" baseField="0" baseItem="0" numFmtId="9"/>
    <dataField name="Број обустављених захтева" fld="6" baseField="0" baseItem="0"/>
    <dataField name=" % захтева чија је обрада у току" fld="10" baseField="0" baseItem="0" numFmtId="9"/>
    <dataField name=" Просечни проценат успешности" fld="11" baseField="0" baseItem="0" numFmtId="9"/>
  </dataFields>
  <formats count="11">
    <format dxfId="39">
      <pivotArea field="0" type="button" dataOnly="0" labelOnly="1" outline="0" axis="axisRow" fieldPosition="0"/>
    </format>
    <format dxfId="38">
      <pivotArea field="0" type="button" dataOnly="0" labelOnly="1" outline="0" axis="axisRow" fieldPosition="0"/>
    </format>
    <format dxfId="37">
      <pivotArea field="0" type="button" dataOnly="0" labelOnly="1" outline="0" axis="axisRow" fieldPosition="0"/>
    </format>
    <format dxfId="36">
      <pivotArea outline="0" collapsedLevelsAreSubtotals="1" fieldPosition="0"/>
    </format>
    <format dxfId="35">
      <pivotArea dataOnly="0" labelOnly="1" outline="0" fieldPosition="0">
        <references count="1">
          <reference field="4294967294" count="10">
            <x v="0"/>
            <x v="1"/>
            <x v="2"/>
            <x v="3"/>
            <x v="4"/>
            <x v="5"/>
            <x v="6"/>
            <x v="7"/>
            <x v="8"/>
            <x v="9"/>
          </reference>
        </references>
      </pivotArea>
    </format>
    <format dxfId="34">
      <pivotArea dataOnly="0" labelOnly="1" outline="0" fieldPosition="0">
        <references count="1">
          <reference field="4294967294" count="10">
            <x v="0"/>
            <x v="1"/>
            <x v="2"/>
            <x v="3"/>
            <x v="4"/>
            <x v="5"/>
            <x v="6"/>
            <x v="7"/>
            <x v="8"/>
            <x v="9"/>
          </reference>
        </references>
      </pivotArea>
    </format>
    <format dxfId="33">
      <pivotArea dataOnly="0" labelOnly="1" outline="0" fieldPosition="0">
        <references count="1">
          <reference field="4294967294" count="10">
            <x v="0"/>
            <x v="1"/>
            <x v="2"/>
            <x v="3"/>
            <x v="4"/>
            <x v="5"/>
            <x v="6"/>
            <x v="7"/>
            <x v="8"/>
            <x v="9"/>
          </reference>
        </references>
      </pivotArea>
    </format>
    <format dxfId="32">
      <pivotArea outline="0" collapsedLevelsAreSubtotals="1" fieldPosition="0">
        <references count="1">
          <reference field="4294967294" count="1" selected="0">
            <x v="2"/>
          </reference>
        </references>
      </pivotArea>
    </format>
    <format dxfId="31">
      <pivotArea outline="0" collapsedLevelsAreSubtotals="1" fieldPosition="0">
        <references count="1">
          <reference field="4294967294" count="1" selected="0">
            <x v="4"/>
          </reference>
        </references>
      </pivotArea>
    </format>
    <format dxfId="30">
      <pivotArea outline="0" collapsedLevelsAreSubtotals="1" fieldPosition="0">
        <references count="1">
          <reference field="4294967294" count="1" selected="0">
            <x v="6"/>
          </reference>
        </references>
      </pivotArea>
    </format>
    <format dxfId="29">
      <pivotArea outline="0" collapsedLevelsAreSubtotals="1" fieldPosition="0">
        <references count="1">
          <reference field="4294967294" count="2" selected="0">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3"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и - усаглашени захтеви">
  <location ref="N20:S157" firstHeaderRow="0" firstDataRow="1" firstDataCol="1"/>
  <pivotFields count="7">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64"/>
        <item sd="0" x="59"/>
        <item sd="0" x="60"/>
        <item sd="0" x="61"/>
        <item sd="0" x="62"/>
        <item sd="0" x="63"/>
        <item sd="0" x="65"/>
        <item sd="0" x="66"/>
        <item sd="0" x="67"/>
        <item sd="0" x="68"/>
        <item sd="0" x="69"/>
        <item sd="0" x="70"/>
        <item sd="0" x="71"/>
        <item sd="0" x="93"/>
        <item sd="0" x="72"/>
        <item sd="0" x="73"/>
        <item sd="0" x="74"/>
        <item sd="0" x="75"/>
        <item sd="0" x="76"/>
        <item sd="0" x="77"/>
        <item sd="0" x="78"/>
        <item sd="0" x="79"/>
        <item sd="0" x="80"/>
        <item sd="0" x="81"/>
        <item sd="0" x="82"/>
        <item sd="0" x="94"/>
        <item sd="0" x="83"/>
        <item sd="0" x="84"/>
        <item sd="0" x="85"/>
        <item sd="0" x="86"/>
        <item sd="0" x="87"/>
        <item sd="0" x="88"/>
        <item sd="0" x="89"/>
        <item sd="0" x="90"/>
        <item sd="0" x="91"/>
        <item sd="0" x="92"/>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7">
        <item x="0"/>
        <item x="1"/>
        <item x="2"/>
        <item x="3"/>
        <item x="5"/>
        <item x="4"/>
        <item t="default"/>
      </items>
    </pivotField>
    <pivotField dataField="1" showAll="0"/>
    <pivotField dataField="1" showAll="0"/>
    <pivotField dataField="1" showAll="0"/>
    <pivotField dataField="1" showAll="0"/>
    <pivotField dataField="1" showAl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5">
    <i>
      <x/>
    </i>
    <i i="1">
      <x v="1"/>
    </i>
    <i i="2">
      <x v="2"/>
    </i>
    <i i="3">
      <x v="3"/>
    </i>
    <i i="4">
      <x v="4"/>
    </i>
  </colItems>
  <dataFields count="5">
    <dataField name="Број поднетих усаглашених захтева" fld="2" baseField="0" baseItem="0"/>
    <dataField name="Број решених усаглашених захетва" fld="3" baseField="0" baseItem="0"/>
    <dataField name="Број позитивно решених усаглашених захтева" fld="4" baseField="0" baseItem="0"/>
    <dataField name="Број негативно решених усаглашених захтева" fld="5" baseField="0" baseItem="0"/>
    <dataField name="Број обустављених усаглашених захтева" fld="6" baseField="0" baseItem="0"/>
  </dataFields>
  <formats count="7">
    <format dxfId="7">
      <pivotArea field="0" type="button" dataOnly="0" labelOnly="1" outline="0" axis="axisRow" fieldPosition="0"/>
    </format>
    <format dxfId="6">
      <pivotArea dataOnly="0" labelOnly="1" outline="0" fieldPosition="0">
        <references count="1">
          <reference field="4294967294" count="5">
            <x v="0"/>
            <x v="1"/>
            <x v="2"/>
            <x v="3"/>
            <x v="4"/>
          </reference>
        </references>
      </pivotArea>
    </format>
    <format dxfId="5">
      <pivotArea field="0" type="button" dataOnly="0" labelOnly="1" outline="0" axis="axisRow" fieldPosition="0"/>
    </format>
    <format dxfId="4">
      <pivotArea field="0" type="button" dataOnly="0" labelOnly="1" outline="0" axis="axisRow" fieldPosition="0"/>
    </format>
    <format dxfId="3">
      <pivotArea dataOnly="0" labelOnly="1" outline="0" fieldPosition="0">
        <references count="1">
          <reference field="4294967294" count="5">
            <x v="0"/>
            <x v="1"/>
            <x v="2"/>
            <x v="3"/>
            <x v="4"/>
          </reference>
        </references>
      </pivotArea>
    </format>
    <format dxfId="2">
      <pivotArea outline="0" collapsedLevelsAreSubtotals="1" fieldPosition="0"/>
    </format>
    <format dxfId="1">
      <pivotArea dataOnly="0" labelOnly="1" outline="0" fieldPosition="0">
        <references count="1">
          <reference field="4294967294" count="5">
            <x v="0"/>
            <x v="1"/>
            <x v="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grandTotalCaption="Сумарно" updatedVersion="4" minRefreshableVersion="3" itemPrintTitles="1" createdVersion="4" indent="0" outline="1" outlineData="1" multipleFieldFilters="0" rowHeaderCaption="Надлежни орган">
  <location ref="B20:L157" firstHeaderRow="0" firstDataRow="1" firstDataCol="1"/>
  <pivotFields count="12">
    <pivotField axis="axisRow" showAll="0">
      <items count="137">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sd="0" x="62"/>
        <item sd="0" x="63"/>
        <item sd="0" x="64"/>
        <item sd="0" x="65"/>
        <item sd="0" x="66"/>
        <item sd="0" x="67"/>
        <item sd="0" x="68"/>
        <item sd="0" x="69"/>
        <item sd="0" x="70"/>
        <item sd="0" x="71"/>
        <item sd="0" x="72"/>
        <item sd="0" x="73"/>
        <item sd="0" x="74"/>
        <item sd="0" x="75"/>
        <item sd="0" x="76"/>
        <item sd="0" x="77"/>
        <item sd="0" x="78"/>
        <item sd="0" x="79"/>
        <item sd="0" x="80"/>
        <item sd="0" x="81"/>
        <item sd="0" x="82"/>
        <item sd="0" x="83"/>
        <item sd="0" x="84"/>
        <item sd="0" x="85"/>
        <item sd="0" x="86"/>
        <item sd="0" x="87"/>
        <item sd="0" x="88"/>
        <item sd="0" x="89"/>
        <item sd="0" x="90"/>
        <item sd="0" x="91"/>
        <item sd="0" x="92"/>
        <item sd="0" x="93"/>
        <item sd="0" x="94"/>
        <item sd="0" x="95"/>
        <item sd="0" x="96"/>
        <item sd="0" x="97"/>
        <item sd="0" x="98"/>
        <item sd="0" x="99"/>
        <item sd="0" x="100"/>
        <item sd="0" x="101"/>
        <item sd="0" x="102"/>
        <item sd="0" x="103"/>
        <item sd="0" x="104"/>
        <item sd="0" x="105"/>
        <item sd="0" x="106"/>
        <item sd="0" x="107"/>
        <item sd="0" x="108"/>
        <item sd="0" x="109"/>
        <item sd="0" x="110"/>
        <item sd="0" x="111"/>
        <item sd="0" x="112"/>
        <item sd="0" x="113"/>
        <item sd="0" x="114"/>
        <item sd="0" x="115"/>
        <item sd="0" x="116"/>
        <item sd="0" x="117"/>
        <item sd="0" x="118"/>
        <item sd="0" x="119"/>
        <item sd="0" x="120"/>
        <item sd="0" x="121"/>
        <item sd="0" x="122"/>
        <item sd="0" x="123"/>
        <item sd="0" x="124"/>
        <item sd="0" x="125"/>
        <item sd="0" x="126"/>
        <item sd="0" x="127"/>
        <item sd="0" x="128"/>
        <item sd="0" x="129"/>
        <item sd="0" x="130"/>
        <item sd="0" x="131"/>
        <item sd="0" x="132"/>
        <item sd="0" x="133"/>
        <item sd="0" x="134"/>
        <item sd="0" x="135"/>
        <item t="default" sd="0"/>
      </items>
    </pivotField>
    <pivotField axis="axisRow" showAll="0">
      <items count="18">
        <item x="14"/>
        <item x="0"/>
        <item x="1"/>
        <item x="16"/>
        <item x="15"/>
        <item x="12"/>
        <item x="2"/>
        <item x="3"/>
        <item x="4"/>
        <item x="13"/>
        <item x="5"/>
        <item x="6"/>
        <item x="7"/>
        <item x="8"/>
        <item x="9"/>
        <item x="10"/>
        <item x="11"/>
        <item t="default"/>
      </items>
    </pivotField>
    <pivotField dataField="1" showAll="0"/>
    <pivotField dataField="1" showAll="0"/>
    <pivotField dataField="1" showAll="0"/>
    <pivotField dataField="1" showAll="0"/>
    <pivotField dataField="1" showAl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 dataField="1" dragToRow="0" dragToCol="0" dragToPage="0" showAll="0" defaultSubtotal="0"/>
  </pivotFields>
  <rowFields count="2">
    <field x="0"/>
    <field x="1"/>
  </rowFields>
  <rowItems count="1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t="grand">
      <x/>
    </i>
  </rowItems>
  <colFields count="1">
    <field x="-2"/>
  </colFields>
  <colItems count="10">
    <i>
      <x/>
    </i>
    <i i="1">
      <x v="1"/>
    </i>
    <i i="2">
      <x v="2"/>
    </i>
    <i i="3">
      <x v="3"/>
    </i>
    <i i="4">
      <x v="4"/>
    </i>
    <i i="5">
      <x v="5"/>
    </i>
    <i i="6">
      <x v="6"/>
    </i>
    <i i="7">
      <x v="7"/>
    </i>
    <i i="8">
      <x v="8"/>
    </i>
    <i i="9">
      <x v="9"/>
    </i>
  </colItems>
  <dataFields count="10">
    <dataField name="Број поднетих захтева" fld="2" baseField="0" baseItem="0"/>
    <dataField name="Број решених захтева" fld="3" baseField="0" baseItem="0"/>
    <dataField name=" % решених захтева" fld="7" baseField="0" baseItem="0" numFmtId="9"/>
    <dataField name="Број позитивно решених захтева" fld="4" baseField="0" baseItem="0"/>
    <dataField name=" % позитивно решених" fld="8" baseField="0" baseItem="0" numFmtId="9"/>
    <dataField name="Број негативно решених захтева" fld="5" baseField="0" baseItem="0"/>
    <dataField name="  % негативно решених захтева" fld="9" baseField="0" baseItem="0" numFmtId="9"/>
    <dataField name="Број обустављених захтева" fld="6" baseField="0" baseItem="0"/>
    <dataField name=" % захтева чија је обрада у току" fld="10" baseField="0" baseItem="0" numFmtId="9"/>
    <dataField name=" Просечан проценат успешности" fld="11" baseField="0" baseItem="0" numFmtId="9"/>
  </dataFields>
  <formats count="14">
    <format dxfId="21">
      <pivotArea field="0" type="button" dataOnly="0" labelOnly="1" outline="0" axis="axisRow" fieldPosition="0"/>
    </format>
    <format dxfId="20">
      <pivotArea dataOnly="0" labelOnly="1" outline="0" fieldPosition="0">
        <references count="1">
          <reference field="4294967294" count="5">
            <x v="0"/>
            <x v="1"/>
            <x v="3"/>
            <x v="5"/>
            <x v="7"/>
          </reference>
        </references>
      </pivotArea>
    </format>
    <format dxfId="19">
      <pivotArea field="0" type="button" dataOnly="0" labelOnly="1" outline="0" axis="axisRow" fieldPosition="0"/>
    </format>
    <format dxfId="18">
      <pivotArea field="0" type="button" dataOnly="0" labelOnly="1" outline="0" axis="axisRow" fieldPosition="0"/>
    </format>
    <format dxfId="17">
      <pivotArea dataOnly="0" labelOnly="1" outline="0" fieldPosition="0">
        <references count="1">
          <reference field="4294967294" count="5">
            <x v="0"/>
            <x v="1"/>
            <x v="3"/>
            <x v="5"/>
            <x v="7"/>
          </reference>
        </references>
      </pivotArea>
    </format>
    <format dxfId="16">
      <pivotArea outline="0" collapsedLevelsAreSubtotals="1" fieldPosition="0"/>
    </format>
    <format dxfId="15">
      <pivotArea dataOnly="0" labelOnly="1" outline="0" fieldPosition="0">
        <references count="1">
          <reference field="4294967294" count="5">
            <x v="0"/>
            <x v="1"/>
            <x v="3"/>
            <x v="5"/>
            <x v="7"/>
          </reference>
        </references>
      </pivotArea>
    </format>
    <format dxfId="14">
      <pivotArea dataOnly="0" labelOnly="1" outline="0" fieldPosition="0">
        <references count="1">
          <reference field="4294967294" count="8">
            <x v="2"/>
            <x v="3"/>
            <x v="4"/>
            <x v="5"/>
            <x v="6"/>
            <x v="7"/>
            <x v="8"/>
            <x v="9"/>
          </reference>
        </references>
      </pivotArea>
    </format>
    <format dxfId="13">
      <pivotArea dataOnly="0" labelOnly="1" outline="0" fieldPosition="0">
        <references count="1">
          <reference field="4294967294" count="8">
            <x v="2"/>
            <x v="3"/>
            <x v="4"/>
            <x v="5"/>
            <x v="6"/>
            <x v="7"/>
            <x v="8"/>
            <x v="9"/>
          </reference>
        </references>
      </pivotArea>
    </format>
    <format dxfId="12">
      <pivotArea dataOnly="0" labelOnly="1" outline="0" fieldPosition="0">
        <references count="1">
          <reference field="4294967294" count="8">
            <x v="2"/>
            <x v="3"/>
            <x v="4"/>
            <x v="5"/>
            <x v="6"/>
            <x v="7"/>
            <x v="8"/>
            <x v="9"/>
          </reference>
        </references>
      </pivotArea>
    </format>
    <format dxfId="11">
      <pivotArea outline="0" collapsedLevelsAreSubtotals="1" fieldPosition="0">
        <references count="1">
          <reference field="4294967294" count="1" selected="0">
            <x v="2"/>
          </reference>
        </references>
      </pivotArea>
    </format>
    <format dxfId="10">
      <pivotArea outline="0" collapsedLevelsAreSubtotals="1" fieldPosition="0">
        <references count="1">
          <reference field="4294967294" count="1" selected="0">
            <x v="4"/>
          </reference>
        </references>
      </pivotArea>
    </format>
    <format dxfId="9">
      <pivotArea outline="0" collapsedLevelsAreSubtotals="1" fieldPosition="0">
        <references count="1">
          <reference field="4294967294" count="1" selected="0">
            <x v="6"/>
          </reference>
        </references>
      </pivotArea>
    </format>
    <format dxfId="8">
      <pivotArea outline="0" collapsedLevelsAreSubtotals="1" fieldPosition="0">
        <references count="1">
          <reference field="4294967294" count="2" selected="0">
            <x v="8"/>
            <x v="9"/>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NadlezniOrgan" sourceName="NadlezniOrgan">
  <pivotTables>
    <pivotTable tabId="7" name="PivotTable1"/>
  </pivotTables>
  <data>
    <tabular pivotCacheId="1">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NadlezniOrgan1" sourceName="NadlezniOrgan">
  <pivotTables>
    <pivotTable tabId="7" name="PivotTable2"/>
  </pivotTables>
  <data>
    <tabular pivotCacheId="2">
      <items count="26">
        <i x="0" s="1"/>
        <i x="1" s="1"/>
        <i x="2" s="1"/>
        <i x="3" s="1"/>
        <i x="4" s="1"/>
        <i x="5" s="1"/>
        <i x="6" s="1"/>
        <i x="7" s="1"/>
        <i x="8" s="1"/>
        <i x="9" s="1"/>
        <i x="10" s="1"/>
        <i x="11" s="1"/>
        <i x="12" s="1"/>
        <i x="13" s="1"/>
        <i x="14" s="1"/>
        <i x="15" s="1"/>
        <i x="16" s="1"/>
        <i x="17" s="1"/>
        <i x="18" s="1"/>
        <i x="19" s="1"/>
        <i x="20" s="1"/>
        <i x="21" s="1"/>
        <i x="22" s="1"/>
        <i x="23" s="1"/>
        <i x="24" s="1"/>
        <i x="25"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Усаглашени_захтеви" sourceName="Усаглашени захтеви">
  <pivotTables>
    <pivotTable tabId="10" name="PivotTable3"/>
  </pivotTables>
  <data>
    <tabular pivotCacheId="3">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64" s="1"/>
        <i x="59" s="1"/>
        <i x="60" s="1"/>
        <i x="61" s="1"/>
        <i x="62" s="1"/>
        <i x="63" s="1"/>
        <i x="65" s="1"/>
        <i x="66" s="1"/>
        <i x="67" s="1"/>
        <i x="68" s="1"/>
        <i x="69" s="1"/>
        <i x="70" s="1"/>
        <i x="71" s="1"/>
        <i x="93" s="1"/>
        <i x="72" s="1"/>
        <i x="73" s="1"/>
        <i x="74" s="1"/>
        <i x="75" s="1"/>
        <i x="76" s="1"/>
        <i x="77" s="1"/>
        <i x="78" s="1"/>
        <i x="79" s="1"/>
        <i x="80" s="1"/>
        <i x="81" s="1"/>
        <i x="82" s="1"/>
        <i x="94" s="1"/>
        <i x="83" s="1"/>
        <i x="84" s="1"/>
        <i x="85" s="1"/>
        <i x="86" s="1"/>
        <i x="87" s="1"/>
        <i x="88" s="1"/>
        <i x="89" s="1"/>
        <i x="90" s="1"/>
        <i x="91" s="1"/>
        <i x="92"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NadlezniOrgan2" sourceName="NadlezniOrgan">
  <pivotTables>
    <pivotTable tabId="10" name="PivotTable1"/>
  </pivotTables>
  <data>
    <tabular pivotCacheId="4">
      <items count="136">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adlezniOrgan" cache="Slicer_NadlezniOrgan" caption="Надлежни орган" rowHeight="241300"/>
  <slicer name="NadlezniOrgan 1" cache="Slicer_NadlezniOrgan1" caption="Надлежни орган - усаглашени захтеви" startItem="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Усаглашени захтеви" cache="Slicer_Усаглашени_захтеви" caption="Надлежни органи - усаглашени захтеви" rowHeight="241300"/>
  <slicer name="NadlezniOrgan 2" cache="Slicer_NadlezniOrgan2" caption="Надлежни орган"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8"/>
  <sheetViews>
    <sheetView tabSelected="1" zoomScale="80" zoomScaleNormal="80" workbookViewId="0">
      <selection activeCell="A4" sqref="A4"/>
    </sheetView>
  </sheetViews>
  <sheetFormatPr defaultRowHeight="15" x14ac:dyDescent="0.25"/>
  <cols>
    <col min="2" max="12" width="9.140625" style="41"/>
  </cols>
  <sheetData>
    <row r="1" spans="2:12" x14ac:dyDescent="0.25">
      <c r="B1" s="54"/>
      <c r="C1" s="55"/>
      <c r="D1" s="55"/>
      <c r="E1" s="55"/>
      <c r="F1" s="55"/>
      <c r="G1" s="55"/>
      <c r="H1" s="55"/>
      <c r="I1" s="55"/>
      <c r="J1" s="55"/>
      <c r="K1" s="55"/>
    </row>
    <row r="2" spans="2:12" x14ac:dyDescent="0.25">
      <c r="B2" s="56" t="s">
        <v>249</v>
      </c>
      <c r="C2" s="56"/>
      <c r="D2" s="56"/>
      <c r="E2" s="56"/>
      <c r="F2" s="56"/>
      <c r="G2" s="56"/>
      <c r="H2" s="56"/>
      <c r="I2" s="56"/>
      <c r="J2" s="56"/>
      <c r="K2" s="56"/>
      <c r="L2" s="56"/>
    </row>
    <row r="3" spans="2:12" x14ac:dyDescent="0.25">
      <c r="B3" s="56"/>
      <c r="C3" s="56"/>
      <c r="D3" s="56"/>
      <c r="E3" s="56"/>
      <c r="F3" s="56"/>
      <c r="G3" s="56"/>
      <c r="H3" s="56"/>
      <c r="I3" s="56"/>
      <c r="J3" s="56"/>
      <c r="K3" s="56"/>
      <c r="L3" s="56"/>
    </row>
    <row r="4" spans="2:12" x14ac:dyDescent="0.25">
      <c r="B4" s="56"/>
      <c r="C4" s="56"/>
      <c r="D4" s="56"/>
      <c r="E4" s="56"/>
      <c r="F4" s="56"/>
      <c r="G4" s="56"/>
      <c r="H4" s="56"/>
      <c r="I4" s="56"/>
      <c r="J4" s="56"/>
      <c r="K4" s="56"/>
      <c r="L4" s="56"/>
    </row>
    <row r="5" spans="2:12" x14ac:dyDescent="0.25">
      <c r="B5" s="56"/>
      <c r="C5" s="56"/>
      <c r="D5" s="56"/>
      <c r="E5" s="56"/>
      <c r="F5" s="56"/>
      <c r="G5" s="56"/>
      <c r="H5" s="56"/>
      <c r="I5" s="56"/>
      <c r="J5" s="56"/>
      <c r="K5" s="56"/>
      <c r="L5" s="56"/>
    </row>
    <row r="6" spans="2:12" x14ac:dyDescent="0.25">
      <c r="B6" s="56"/>
      <c r="C6" s="56"/>
      <c r="D6" s="56"/>
      <c r="E6" s="56"/>
      <c r="F6" s="56"/>
      <c r="G6" s="56"/>
      <c r="H6" s="56"/>
      <c r="I6" s="56"/>
      <c r="J6" s="56"/>
      <c r="K6" s="56"/>
      <c r="L6" s="56"/>
    </row>
    <row r="7" spans="2:12" x14ac:dyDescent="0.25">
      <c r="B7" s="56"/>
      <c r="C7" s="56"/>
      <c r="D7" s="56"/>
      <c r="E7" s="56"/>
      <c r="F7" s="56"/>
      <c r="G7" s="56"/>
      <c r="H7" s="56"/>
      <c r="I7" s="56"/>
      <c r="J7" s="56"/>
      <c r="K7" s="56"/>
      <c r="L7" s="56"/>
    </row>
    <row r="8" spans="2:12" x14ac:dyDescent="0.25">
      <c r="B8" s="56"/>
      <c r="C8" s="56"/>
      <c r="D8" s="56"/>
      <c r="E8" s="56"/>
      <c r="F8" s="56"/>
      <c r="G8" s="56"/>
      <c r="H8" s="56"/>
      <c r="I8" s="56"/>
      <c r="J8" s="56"/>
      <c r="K8" s="56"/>
      <c r="L8" s="56"/>
    </row>
    <row r="9" spans="2:12" x14ac:dyDescent="0.25">
      <c r="B9" s="56"/>
      <c r="C9" s="56"/>
      <c r="D9" s="56"/>
      <c r="E9" s="56"/>
      <c r="F9" s="56"/>
      <c r="G9" s="56"/>
      <c r="H9" s="56"/>
      <c r="I9" s="56"/>
      <c r="J9" s="56"/>
      <c r="K9" s="56"/>
      <c r="L9" s="56"/>
    </row>
    <row r="10" spans="2:12" x14ac:dyDescent="0.25">
      <c r="B10" s="56"/>
      <c r="C10" s="56"/>
      <c r="D10" s="56"/>
      <c r="E10" s="56"/>
      <c r="F10" s="56"/>
      <c r="G10" s="56"/>
      <c r="H10" s="56"/>
      <c r="I10" s="56"/>
      <c r="J10" s="56"/>
      <c r="K10" s="56"/>
      <c r="L10" s="56"/>
    </row>
    <row r="11" spans="2:12" x14ac:dyDescent="0.25">
      <c r="B11" s="56"/>
      <c r="C11" s="56"/>
      <c r="D11" s="56"/>
      <c r="E11" s="56"/>
      <c r="F11" s="56"/>
      <c r="G11" s="56"/>
      <c r="H11" s="56"/>
      <c r="I11" s="56"/>
      <c r="J11" s="56"/>
      <c r="K11" s="56"/>
      <c r="L11" s="56"/>
    </row>
    <row r="28" spans="2:12" x14ac:dyDescent="0.25">
      <c r="B28" s="57" t="s">
        <v>250</v>
      </c>
      <c r="C28" s="57"/>
      <c r="D28" s="57"/>
      <c r="E28" s="57"/>
      <c r="F28" s="57"/>
      <c r="G28" s="57"/>
      <c r="H28" s="57"/>
      <c r="I28" s="57"/>
      <c r="J28" s="57"/>
      <c r="K28" s="57"/>
      <c r="L28" s="57"/>
    </row>
  </sheetData>
  <mergeCells count="3">
    <mergeCell ref="B1:K1"/>
    <mergeCell ref="B2:L11"/>
    <mergeCell ref="B28:L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
  <sheetViews>
    <sheetView zoomScale="80" zoomScaleNormal="80" workbookViewId="0">
      <selection activeCell="P17" sqref="P17"/>
    </sheetView>
  </sheetViews>
  <sheetFormatPr defaultRowHeight="15" x14ac:dyDescent="0.25"/>
  <sheetData>
    <row r="1" spans="2:25" ht="15" customHeight="1" x14ac:dyDescent="0.25">
      <c r="B1" s="58" t="s">
        <v>268</v>
      </c>
      <c r="C1" s="59"/>
      <c r="D1" s="59"/>
      <c r="E1" s="59"/>
      <c r="F1" s="59"/>
      <c r="G1" s="59"/>
      <c r="H1" s="59"/>
      <c r="I1" s="59"/>
      <c r="J1" s="59"/>
      <c r="K1" s="59"/>
      <c r="L1" s="59"/>
      <c r="M1" s="59"/>
      <c r="N1" s="59"/>
      <c r="O1" s="59"/>
      <c r="P1" s="59"/>
      <c r="Q1" s="59"/>
      <c r="R1" s="59"/>
      <c r="S1" s="59"/>
      <c r="T1" s="59"/>
      <c r="U1" s="59"/>
      <c r="V1" s="59"/>
      <c r="W1" s="59"/>
      <c r="X1" s="59"/>
      <c r="Y1" s="60"/>
    </row>
    <row r="2" spans="2:25" ht="15" customHeight="1" x14ac:dyDescent="0.25">
      <c r="B2" s="61"/>
      <c r="C2" s="62"/>
      <c r="D2" s="62"/>
      <c r="E2" s="62"/>
      <c r="F2" s="62"/>
      <c r="G2" s="62"/>
      <c r="H2" s="62"/>
      <c r="I2" s="62"/>
      <c r="J2" s="62"/>
      <c r="K2" s="62"/>
      <c r="L2" s="62"/>
      <c r="M2" s="62"/>
      <c r="N2" s="62"/>
      <c r="O2" s="62"/>
      <c r="P2" s="62"/>
      <c r="Q2" s="62"/>
      <c r="R2" s="62"/>
      <c r="S2" s="62"/>
      <c r="T2" s="62"/>
      <c r="U2" s="62"/>
      <c r="V2" s="62"/>
      <c r="W2" s="62"/>
      <c r="X2" s="62"/>
      <c r="Y2" s="63"/>
    </row>
    <row r="3" spans="2:25" ht="19.5" x14ac:dyDescent="0.25">
      <c r="B3" s="64" t="s">
        <v>267</v>
      </c>
      <c r="C3" s="64"/>
      <c r="D3" s="64"/>
      <c r="E3" s="64"/>
      <c r="F3" s="64"/>
      <c r="G3" s="64"/>
      <c r="H3" s="64"/>
      <c r="I3" s="64"/>
      <c r="J3" s="64"/>
      <c r="K3" s="64"/>
      <c r="L3" s="64"/>
      <c r="M3" s="64"/>
      <c r="N3" s="64"/>
      <c r="O3" s="64"/>
      <c r="P3" s="64"/>
      <c r="Q3" s="64"/>
      <c r="R3" s="64"/>
      <c r="S3" s="64"/>
      <c r="T3" s="64"/>
      <c r="U3" s="64"/>
      <c r="V3" s="64"/>
      <c r="W3" s="64"/>
      <c r="X3" s="64"/>
      <c r="Y3" s="64"/>
    </row>
  </sheetData>
  <mergeCells count="2">
    <mergeCell ref="B1:Y2"/>
    <mergeCell ref="B3:Y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7"/>
  <sheetViews>
    <sheetView zoomScale="80" zoomScaleNormal="80" workbookViewId="0">
      <selection activeCell="B4" sqref="B4"/>
    </sheetView>
  </sheetViews>
  <sheetFormatPr defaultRowHeight="15" x14ac:dyDescent="0.25"/>
  <cols>
    <col min="2" max="2" width="81" customWidth="1"/>
    <col min="3" max="7" width="16.85546875" style="23" customWidth="1"/>
  </cols>
  <sheetData>
    <row r="1" spans="2:7" ht="15.75" x14ac:dyDescent="0.25">
      <c r="B1" s="65" t="s">
        <v>268</v>
      </c>
      <c r="C1" s="65"/>
      <c r="D1" s="65"/>
      <c r="E1" s="65"/>
      <c r="F1" s="65"/>
      <c r="G1" s="65"/>
    </row>
    <row r="2" spans="2:7" ht="15.75" x14ac:dyDescent="0.25">
      <c r="B2" s="42"/>
      <c r="C2" s="42"/>
      <c r="D2" s="42"/>
      <c r="E2" s="42"/>
      <c r="F2" s="42"/>
      <c r="G2" s="42"/>
    </row>
    <row r="3" spans="2:7" x14ac:dyDescent="0.25">
      <c r="B3" t="s">
        <v>251</v>
      </c>
      <c r="C3" s="6"/>
      <c r="D3" s="6"/>
      <c r="E3" s="6"/>
      <c r="F3" s="6"/>
      <c r="G3" s="6"/>
    </row>
    <row r="4" spans="2:7" ht="71.25" customHeight="1" x14ac:dyDescent="0.25">
      <c r="B4" s="43" t="s">
        <v>252</v>
      </c>
      <c r="C4" s="43" t="s">
        <v>228</v>
      </c>
      <c r="D4" s="43" t="s">
        <v>253</v>
      </c>
      <c r="E4" s="43" t="s">
        <v>254</v>
      </c>
      <c r="F4" s="43" t="s">
        <v>255</v>
      </c>
      <c r="G4" s="44" t="s">
        <v>256</v>
      </c>
    </row>
    <row r="5" spans="2:7" x14ac:dyDescent="0.25">
      <c r="B5" t="s">
        <v>187</v>
      </c>
      <c r="C5" s="23">
        <v>25579</v>
      </c>
      <c r="D5" s="23">
        <v>24700</v>
      </c>
      <c r="E5" s="23">
        <v>19987</v>
      </c>
      <c r="F5" s="23">
        <v>4713</v>
      </c>
      <c r="G5" s="23">
        <v>90</v>
      </c>
    </row>
    <row r="6" spans="2:7" x14ac:dyDescent="0.25">
      <c r="B6" t="s">
        <v>186</v>
      </c>
      <c r="C6" s="23">
        <v>24274</v>
      </c>
      <c r="D6" s="23">
        <v>22362</v>
      </c>
      <c r="E6" s="23">
        <v>18262</v>
      </c>
      <c r="F6" s="23">
        <v>4100</v>
      </c>
      <c r="G6" s="23">
        <v>169</v>
      </c>
    </row>
    <row r="7" spans="2:7" x14ac:dyDescent="0.25">
      <c r="B7" t="s">
        <v>10</v>
      </c>
      <c r="C7" s="23">
        <v>21411</v>
      </c>
      <c r="D7" s="23">
        <v>21217</v>
      </c>
      <c r="E7" s="23">
        <v>18532</v>
      </c>
      <c r="F7" s="23">
        <v>2685</v>
      </c>
      <c r="G7" s="23">
        <v>22</v>
      </c>
    </row>
    <row r="8" spans="2:7" x14ac:dyDescent="0.25">
      <c r="B8" t="s">
        <v>185</v>
      </c>
      <c r="C8" s="23">
        <v>15442</v>
      </c>
      <c r="D8" s="23">
        <v>14736</v>
      </c>
      <c r="E8" s="23">
        <v>12013</v>
      </c>
      <c r="F8" s="23">
        <v>2723</v>
      </c>
      <c r="G8" s="23">
        <v>95</v>
      </c>
    </row>
    <row r="9" spans="2:7" x14ac:dyDescent="0.25">
      <c r="B9" t="s">
        <v>6</v>
      </c>
      <c r="C9" s="23">
        <v>11540</v>
      </c>
      <c r="D9" s="23">
        <v>11272</v>
      </c>
      <c r="E9" s="23">
        <v>11120</v>
      </c>
      <c r="F9" s="23">
        <v>152</v>
      </c>
      <c r="G9" s="23">
        <v>12</v>
      </c>
    </row>
    <row r="10" spans="2:7" x14ac:dyDescent="0.25">
      <c r="B10" t="s">
        <v>5</v>
      </c>
      <c r="C10" s="23">
        <v>9863</v>
      </c>
      <c r="D10" s="23">
        <v>9392</v>
      </c>
      <c r="E10" s="23">
        <v>7819</v>
      </c>
      <c r="F10" s="23">
        <v>1573</v>
      </c>
      <c r="G10" s="23">
        <v>41</v>
      </c>
    </row>
    <row r="11" spans="2:7" x14ac:dyDescent="0.25">
      <c r="B11" t="s">
        <v>8</v>
      </c>
      <c r="C11" s="23">
        <v>6745</v>
      </c>
      <c r="D11" s="23">
        <v>6374</v>
      </c>
      <c r="E11" s="23">
        <v>4954</v>
      </c>
      <c r="F11" s="23">
        <v>1420</v>
      </c>
      <c r="G11" s="23">
        <v>16</v>
      </c>
    </row>
    <row r="12" spans="2:7" x14ac:dyDescent="0.25">
      <c r="B12" t="s">
        <v>177</v>
      </c>
      <c r="C12" s="23">
        <v>6677</v>
      </c>
      <c r="D12" s="23">
        <v>6195</v>
      </c>
      <c r="E12" s="23">
        <v>5500</v>
      </c>
      <c r="F12" s="23">
        <v>695</v>
      </c>
      <c r="G12" s="23">
        <v>12</v>
      </c>
    </row>
    <row r="13" spans="2:7" x14ac:dyDescent="0.25">
      <c r="B13" t="s">
        <v>7</v>
      </c>
      <c r="C13" s="23">
        <v>3726</v>
      </c>
      <c r="D13" s="23">
        <v>3134</v>
      </c>
      <c r="E13" s="23">
        <v>2356</v>
      </c>
      <c r="F13" s="23">
        <v>778</v>
      </c>
      <c r="G13" s="23">
        <v>68</v>
      </c>
    </row>
    <row r="14" spans="2:7" x14ac:dyDescent="0.25">
      <c r="B14" t="s">
        <v>9</v>
      </c>
      <c r="C14" s="23">
        <v>3544</v>
      </c>
      <c r="D14" s="23">
        <v>3359</v>
      </c>
      <c r="E14" s="23">
        <v>3061</v>
      </c>
      <c r="F14" s="23">
        <v>298</v>
      </c>
      <c r="G14" s="23">
        <v>3</v>
      </c>
    </row>
    <row r="15" spans="2:7" x14ac:dyDescent="0.25">
      <c r="B15" t="s">
        <v>2</v>
      </c>
      <c r="C15" s="23">
        <v>2080</v>
      </c>
      <c r="D15" s="23">
        <v>1720</v>
      </c>
      <c r="E15" s="23">
        <v>1453</v>
      </c>
      <c r="F15" s="23">
        <v>267</v>
      </c>
      <c r="G15" s="23">
        <v>6</v>
      </c>
    </row>
    <row r="16" spans="2:7" x14ac:dyDescent="0.25">
      <c r="B16" t="s">
        <v>4</v>
      </c>
      <c r="C16" s="23">
        <v>457</v>
      </c>
      <c r="D16" s="23">
        <v>0</v>
      </c>
      <c r="E16" s="23">
        <v>0</v>
      </c>
      <c r="F16" s="23">
        <v>0</v>
      </c>
      <c r="G16" s="23">
        <v>2</v>
      </c>
    </row>
    <row r="17" spans="2:7" x14ac:dyDescent="0.25">
      <c r="B17" t="s">
        <v>189</v>
      </c>
      <c r="C17" s="23">
        <v>122</v>
      </c>
      <c r="D17" s="23">
        <v>120</v>
      </c>
      <c r="E17" s="23">
        <v>78</v>
      </c>
      <c r="F17" s="23">
        <v>42</v>
      </c>
      <c r="G17" s="23">
        <v>0</v>
      </c>
    </row>
    <row r="18" spans="2:7" x14ac:dyDescent="0.25">
      <c r="B18" t="s">
        <v>27</v>
      </c>
      <c r="C18" s="23">
        <v>36</v>
      </c>
      <c r="D18" s="23">
        <v>0</v>
      </c>
      <c r="E18" s="23">
        <v>0</v>
      </c>
      <c r="F18" s="23">
        <v>0</v>
      </c>
      <c r="G18" s="23">
        <v>0</v>
      </c>
    </row>
    <row r="19" spans="2:7" x14ac:dyDescent="0.25">
      <c r="B19" t="s">
        <v>1</v>
      </c>
      <c r="C19" s="23">
        <v>23</v>
      </c>
      <c r="D19" s="23">
        <v>22</v>
      </c>
      <c r="E19" s="23">
        <v>17</v>
      </c>
      <c r="F19" s="23">
        <v>5</v>
      </c>
      <c r="G19" s="23">
        <v>1</v>
      </c>
    </row>
    <row r="20" spans="2:7" x14ac:dyDescent="0.25">
      <c r="B20" t="s">
        <v>97</v>
      </c>
      <c r="C20" s="23">
        <v>17</v>
      </c>
      <c r="D20" s="23">
        <v>0</v>
      </c>
      <c r="E20" s="23">
        <v>0</v>
      </c>
      <c r="F20" s="23">
        <v>0</v>
      </c>
      <c r="G20" s="23">
        <v>1</v>
      </c>
    </row>
    <row r="21" spans="2:7" x14ac:dyDescent="0.25">
      <c r="B21" t="s">
        <v>188</v>
      </c>
      <c r="C21" s="23">
        <v>3</v>
      </c>
      <c r="D21" s="23">
        <v>0</v>
      </c>
      <c r="E21" s="23">
        <v>0</v>
      </c>
      <c r="F21" s="23">
        <v>0</v>
      </c>
      <c r="G21" s="23">
        <v>0</v>
      </c>
    </row>
    <row r="22" spans="2:7" x14ac:dyDescent="0.25">
      <c r="B22" s="45" t="s">
        <v>207</v>
      </c>
      <c r="C22" s="46">
        <f>SUM(C5:C21)</f>
        <v>131539</v>
      </c>
      <c r="D22" s="46">
        <f t="shared" ref="D22:G22" si="0">SUM(D5:D21)</f>
        <v>124603</v>
      </c>
      <c r="E22" s="46">
        <f t="shared" si="0"/>
        <v>105152</v>
      </c>
      <c r="F22" s="46">
        <f t="shared" si="0"/>
        <v>19451</v>
      </c>
      <c r="G22" s="46">
        <f t="shared" si="0"/>
        <v>538</v>
      </c>
    </row>
    <row r="23" spans="2:7" x14ac:dyDescent="0.25">
      <c r="C23" s="6"/>
      <c r="D23" s="6"/>
      <c r="E23" s="6"/>
      <c r="F23" s="6"/>
      <c r="G23" s="6"/>
    </row>
    <row r="24" spans="2:7" x14ac:dyDescent="0.25">
      <c r="C24" s="6"/>
      <c r="D24" s="6"/>
      <c r="E24" s="6"/>
      <c r="F24" s="6"/>
      <c r="G24" s="6"/>
    </row>
    <row r="25" spans="2:7" x14ac:dyDescent="0.25">
      <c r="B25" t="s">
        <v>257</v>
      </c>
      <c r="C25" s="6"/>
      <c r="D25" s="6"/>
      <c r="E25" s="6"/>
      <c r="F25" s="6"/>
      <c r="G25" s="6"/>
    </row>
    <row r="26" spans="2:7" ht="60" x14ac:dyDescent="0.25">
      <c r="B26" s="47" t="s">
        <v>258</v>
      </c>
      <c r="C26" s="47" t="s">
        <v>204</v>
      </c>
      <c r="D26" s="47" t="s">
        <v>230</v>
      </c>
      <c r="E26" s="47" t="s">
        <v>231</v>
      </c>
      <c r="F26" s="47" t="s">
        <v>232</v>
      </c>
      <c r="G26" s="48" t="s">
        <v>233</v>
      </c>
    </row>
    <row r="27" spans="2:7" x14ac:dyDescent="0.25">
      <c r="B27" t="s">
        <v>3</v>
      </c>
      <c r="C27" s="23">
        <v>230</v>
      </c>
      <c r="D27" s="23">
        <v>173</v>
      </c>
      <c r="E27" s="23">
        <v>133</v>
      </c>
      <c r="F27" s="23">
        <v>40</v>
      </c>
      <c r="G27" s="23">
        <v>1</v>
      </c>
    </row>
    <row r="28" spans="2:7" x14ac:dyDescent="0.25">
      <c r="B28" t="s">
        <v>11</v>
      </c>
      <c r="C28" s="23">
        <v>2569</v>
      </c>
      <c r="D28" s="23">
        <v>2488</v>
      </c>
      <c r="E28" s="23">
        <v>1960</v>
      </c>
      <c r="F28" s="23">
        <v>528</v>
      </c>
      <c r="G28" s="23">
        <v>11</v>
      </c>
    </row>
    <row r="29" spans="2:7" x14ac:dyDescent="0.25">
      <c r="B29" t="s">
        <v>174</v>
      </c>
      <c r="C29" s="23">
        <v>4004</v>
      </c>
      <c r="D29" s="23">
        <v>3877</v>
      </c>
      <c r="E29" s="23">
        <v>3000</v>
      </c>
      <c r="F29" s="23">
        <v>877</v>
      </c>
      <c r="G29" s="23">
        <v>26</v>
      </c>
    </row>
    <row r="30" spans="2:7" x14ac:dyDescent="0.25">
      <c r="B30" t="s">
        <v>175</v>
      </c>
      <c r="C30" s="23">
        <v>6211</v>
      </c>
      <c r="D30" s="23">
        <v>5781</v>
      </c>
      <c r="E30" s="23">
        <v>4313</v>
      </c>
      <c r="F30" s="23">
        <v>1468</v>
      </c>
      <c r="G30" s="23">
        <v>47</v>
      </c>
    </row>
    <row r="31" spans="2:7" x14ac:dyDescent="0.25">
      <c r="B31" t="s">
        <v>182</v>
      </c>
      <c r="C31" s="23">
        <v>16</v>
      </c>
      <c r="D31" s="23">
        <v>16</v>
      </c>
      <c r="E31" s="23">
        <v>14</v>
      </c>
      <c r="F31" s="23">
        <v>2</v>
      </c>
      <c r="G31" s="23">
        <v>0</v>
      </c>
    </row>
    <row r="32" spans="2:7" x14ac:dyDescent="0.25">
      <c r="B32" t="s">
        <v>176</v>
      </c>
      <c r="C32" s="23">
        <v>4875</v>
      </c>
      <c r="D32" s="23">
        <v>4741</v>
      </c>
      <c r="E32" s="23">
        <v>3782</v>
      </c>
      <c r="F32" s="23">
        <v>959</v>
      </c>
      <c r="G32" s="23">
        <v>15</v>
      </c>
    </row>
    <row r="33" spans="2:7" x14ac:dyDescent="0.25">
      <c r="B33" s="45" t="s">
        <v>207</v>
      </c>
      <c r="C33" s="46">
        <f>+SUM(C27:C32)</f>
        <v>17905</v>
      </c>
      <c r="D33" s="46">
        <f>+SUM(D27:D32)</f>
        <v>17076</v>
      </c>
      <c r="E33" s="46">
        <f>+SUM(E27:E32)</f>
        <v>13202</v>
      </c>
      <c r="F33" s="46">
        <f>+SUM(F27:F32)</f>
        <v>3874</v>
      </c>
      <c r="G33" s="49">
        <f>+SUM(G27:G32)</f>
        <v>100</v>
      </c>
    </row>
    <row r="36" spans="2:7" ht="30" x14ac:dyDescent="0.25">
      <c r="C36" s="8" t="s">
        <v>259</v>
      </c>
      <c r="D36" s="8" t="s">
        <v>260</v>
      </c>
      <c r="F36"/>
    </row>
    <row r="37" spans="2:7" x14ac:dyDescent="0.25">
      <c r="C37" s="6">
        <f>+E22</f>
        <v>105152</v>
      </c>
      <c r="D37" s="6">
        <f>+F22</f>
        <v>19451</v>
      </c>
      <c r="F37"/>
    </row>
    <row r="38" spans="2:7" x14ac:dyDescent="0.25">
      <c r="C38" s="7">
        <f>+C37/D22</f>
        <v>0.84389621437686091</v>
      </c>
      <c r="D38" s="7">
        <f>+D37/D22</f>
        <v>0.15610378562313909</v>
      </c>
      <c r="F38"/>
    </row>
    <row r="39" spans="2:7" x14ac:dyDescent="0.25">
      <c r="C39" s="6"/>
      <c r="D39" s="6"/>
      <c r="E39" s="6"/>
      <c r="F39" s="6"/>
    </row>
    <row r="40" spans="2:7" x14ac:dyDescent="0.25">
      <c r="C40" s="6"/>
      <c r="D40" s="6"/>
      <c r="E40" s="6"/>
      <c r="F40" s="6"/>
    </row>
    <row r="41" spans="2:7" ht="30" x14ac:dyDescent="0.25">
      <c r="C41" s="8" t="s">
        <v>261</v>
      </c>
      <c r="D41" s="8" t="s">
        <v>262</v>
      </c>
      <c r="E41" s="8" t="s">
        <v>263</v>
      </c>
      <c r="F41" s="8" t="s">
        <v>264</v>
      </c>
    </row>
    <row r="42" spans="2:7" x14ac:dyDescent="0.25">
      <c r="C42" s="6">
        <f>+C22</f>
        <v>131539</v>
      </c>
      <c r="D42" s="6">
        <f>+D22</f>
        <v>124603</v>
      </c>
      <c r="E42" s="50">
        <f>+G22</f>
        <v>538</v>
      </c>
      <c r="F42" s="6">
        <f>+C42-D42-E42</f>
        <v>6398</v>
      </c>
    </row>
    <row r="43" spans="2:7" x14ac:dyDescent="0.25">
      <c r="C43" s="7">
        <f>+C42/C42</f>
        <v>1</v>
      </c>
      <c r="D43" s="51">
        <f>+D42/C42</f>
        <v>0.94727039129079593</v>
      </c>
      <c r="E43" s="51">
        <f>+E42/C42</f>
        <v>4.0900417366712535E-3</v>
      </c>
      <c r="F43" s="51">
        <f>+F42/C42</f>
        <v>4.8639566972532862E-2</v>
      </c>
    </row>
    <row r="44" spans="2:7" x14ac:dyDescent="0.25">
      <c r="C44" s="6"/>
      <c r="D44" s="6"/>
      <c r="E44" s="6"/>
      <c r="F44" s="6"/>
    </row>
    <row r="45" spans="2:7" ht="30" x14ac:dyDescent="0.25">
      <c r="C45" s="8" t="s">
        <v>261</v>
      </c>
      <c r="D45" s="6">
        <f>+C42</f>
        <v>131539</v>
      </c>
      <c r="E45" s="52">
        <f>+D45/D45</f>
        <v>1</v>
      </c>
      <c r="F45" s="53"/>
    </row>
    <row r="46" spans="2:7" ht="45" x14ac:dyDescent="0.25">
      <c r="C46" s="8" t="s">
        <v>265</v>
      </c>
      <c r="D46" s="6">
        <f>+D45-D47</f>
        <v>113634</v>
      </c>
      <c r="E46" s="52">
        <f>+D46/D45</f>
        <v>0.86388067417267878</v>
      </c>
      <c r="F46" s="53"/>
    </row>
    <row r="47" spans="2:7" ht="30" x14ac:dyDescent="0.25">
      <c r="C47" s="8" t="s">
        <v>266</v>
      </c>
      <c r="D47" s="6">
        <f>+C33</f>
        <v>17905</v>
      </c>
      <c r="E47" s="7">
        <f>+D47/D45</f>
        <v>0.13611932582732117</v>
      </c>
      <c r="F47" s="6"/>
    </row>
  </sheetData>
  <sortState ref="B5:G21">
    <sortCondition descending="1" ref="C5:C21"/>
  </sortState>
  <mergeCells count="1">
    <mergeCell ref="B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61"/>
  <sheetViews>
    <sheetView zoomScale="80" zoomScaleNormal="80" workbookViewId="0">
      <selection activeCell="B1" sqref="B1:O6"/>
    </sheetView>
  </sheetViews>
  <sheetFormatPr defaultRowHeight="15" x14ac:dyDescent="0.25"/>
  <cols>
    <col min="1" max="1" width="3.5703125" customWidth="1"/>
    <col min="2" max="2" width="23" customWidth="1"/>
    <col min="3" max="3" width="12.42578125" customWidth="1"/>
    <col min="4" max="15" width="13.28515625" customWidth="1"/>
  </cols>
  <sheetData>
    <row r="1" spans="2:15" ht="15" customHeight="1" x14ac:dyDescent="0.25">
      <c r="B1" s="66" t="s">
        <v>208</v>
      </c>
      <c r="C1" s="66"/>
      <c r="D1" s="66"/>
      <c r="E1" s="66"/>
      <c r="F1" s="66"/>
      <c r="G1" s="66"/>
      <c r="H1" s="66"/>
      <c r="I1" s="66"/>
      <c r="J1" s="66"/>
      <c r="K1" s="66"/>
      <c r="L1" s="66"/>
      <c r="M1" s="66"/>
      <c r="N1" s="66"/>
      <c r="O1" s="66"/>
    </row>
    <row r="2" spans="2:15" x14ac:dyDescent="0.25">
      <c r="B2" s="66"/>
      <c r="C2" s="66"/>
      <c r="D2" s="66"/>
      <c r="E2" s="66"/>
      <c r="F2" s="66"/>
      <c r="G2" s="66"/>
      <c r="H2" s="66"/>
      <c r="I2" s="66"/>
      <c r="J2" s="66"/>
      <c r="K2" s="66"/>
      <c r="L2" s="66"/>
      <c r="M2" s="66"/>
      <c r="N2" s="66"/>
      <c r="O2" s="66"/>
    </row>
    <row r="3" spans="2:15" x14ac:dyDescent="0.25">
      <c r="B3" s="66"/>
      <c r="C3" s="66"/>
      <c r="D3" s="66"/>
      <c r="E3" s="66"/>
      <c r="F3" s="66"/>
      <c r="G3" s="66"/>
      <c r="H3" s="66"/>
      <c r="I3" s="66"/>
      <c r="J3" s="66"/>
      <c r="K3" s="66"/>
      <c r="L3" s="66"/>
      <c r="M3" s="66"/>
      <c r="N3" s="66"/>
      <c r="O3" s="66"/>
    </row>
    <row r="4" spans="2:15" x14ac:dyDescent="0.25">
      <c r="B4" s="66"/>
      <c r="C4" s="66"/>
      <c r="D4" s="66"/>
      <c r="E4" s="66"/>
      <c r="F4" s="66"/>
      <c r="G4" s="66"/>
      <c r="H4" s="66"/>
      <c r="I4" s="66"/>
      <c r="J4" s="66"/>
      <c r="K4" s="66"/>
      <c r="L4" s="66"/>
      <c r="M4" s="66"/>
      <c r="N4" s="66"/>
      <c r="O4" s="66"/>
    </row>
    <row r="5" spans="2:15" x14ac:dyDescent="0.25">
      <c r="B5" s="66"/>
      <c r="C5" s="66"/>
      <c r="D5" s="66"/>
      <c r="E5" s="66"/>
      <c r="F5" s="66"/>
      <c r="G5" s="66"/>
      <c r="H5" s="66"/>
      <c r="I5" s="66"/>
      <c r="J5" s="66"/>
      <c r="K5" s="66"/>
      <c r="L5" s="66"/>
      <c r="M5" s="66"/>
      <c r="N5" s="66"/>
      <c r="O5" s="66"/>
    </row>
    <row r="6" spans="2:15" x14ac:dyDescent="0.25">
      <c r="B6" s="66"/>
      <c r="C6" s="66"/>
      <c r="D6" s="66"/>
      <c r="E6" s="66"/>
      <c r="F6" s="66"/>
      <c r="G6" s="66"/>
      <c r="H6" s="66"/>
      <c r="I6" s="66"/>
      <c r="J6" s="66"/>
      <c r="K6" s="66"/>
      <c r="L6" s="66"/>
      <c r="M6" s="66"/>
      <c r="N6" s="66"/>
      <c r="O6" s="66"/>
    </row>
    <row r="7" spans="2:15" x14ac:dyDescent="0.25">
      <c r="C7" s="6"/>
      <c r="D7" s="6"/>
      <c r="E7" s="6"/>
      <c r="F7" s="7"/>
      <c r="G7" s="6"/>
      <c r="H7" s="7"/>
      <c r="I7" s="6"/>
      <c r="J7" s="7"/>
      <c r="K7" s="6"/>
      <c r="L7" s="7"/>
      <c r="M7" s="6"/>
      <c r="N7" s="7"/>
      <c r="O7" s="7"/>
    </row>
    <row r="8" spans="2:15" ht="90" customHeight="1" x14ac:dyDescent="0.25">
      <c r="B8" s="8" t="s">
        <v>193</v>
      </c>
      <c r="C8" s="8" t="s">
        <v>194</v>
      </c>
      <c r="D8" s="8" t="s">
        <v>195</v>
      </c>
      <c r="E8" s="8" t="s">
        <v>196</v>
      </c>
      <c r="F8" s="9" t="s">
        <v>197</v>
      </c>
      <c r="G8" s="8" t="s">
        <v>198</v>
      </c>
      <c r="H8" s="9" t="s">
        <v>199</v>
      </c>
      <c r="I8" s="8" t="s">
        <v>200</v>
      </c>
      <c r="J8" s="9" t="s">
        <v>201</v>
      </c>
      <c r="K8" s="8" t="s">
        <v>202</v>
      </c>
      <c r="L8" s="9" t="s">
        <v>203</v>
      </c>
      <c r="M8" s="8" t="s">
        <v>204</v>
      </c>
      <c r="N8" s="9" t="s">
        <v>205</v>
      </c>
      <c r="O8" s="9" t="s">
        <v>206</v>
      </c>
    </row>
    <row r="9" spans="2:15" x14ac:dyDescent="0.25">
      <c r="B9" s="10" t="s">
        <v>207</v>
      </c>
      <c r="C9" s="11">
        <f t="shared" ref="C9:M9" si="0">+C51</f>
        <v>119650</v>
      </c>
      <c r="D9" s="11">
        <f t="shared" si="0"/>
        <v>61765</v>
      </c>
      <c r="E9" s="11">
        <f t="shared" si="0"/>
        <v>57885</v>
      </c>
      <c r="F9" s="12">
        <f t="shared" si="0"/>
        <v>0.93718125151784992</v>
      </c>
      <c r="G9" s="11">
        <f t="shared" si="0"/>
        <v>47683</v>
      </c>
      <c r="H9" s="12">
        <f t="shared" si="0"/>
        <v>0.82375399499006652</v>
      </c>
      <c r="I9" s="11">
        <f t="shared" si="0"/>
        <v>10202</v>
      </c>
      <c r="J9" s="12">
        <f t="shared" si="0"/>
        <v>0.17624600500993348</v>
      </c>
      <c r="K9" s="11">
        <f t="shared" si="0"/>
        <v>254</v>
      </c>
      <c r="L9" s="12">
        <f t="shared" si="0"/>
        <v>5.8706387112442325E-2</v>
      </c>
      <c r="M9" s="11">
        <f t="shared" si="0"/>
        <v>10076</v>
      </c>
      <c r="N9" s="12">
        <f t="shared" ref="N9:O9" si="1">+N51</f>
        <v>0.16313446126447018</v>
      </c>
      <c r="O9" s="13">
        <f t="shared" si="1"/>
        <v>0.88046762325395822</v>
      </c>
    </row>
    <row r="23" spans="2:15" ht="60" x14ac:dyDescent="0.25">
      <c r="B23" s="8" t="s">
        <v>193</v>
      </c>
      <c r="C23" s="8" t="s">
        <v>194</v>
      </c>
      <c r="D23" s="8" t="s">
        <v>195</v>
      </c>
      <c r="E23" s="8" t="s">
        <v>196</v>
      </c>
      <c r="F23" s="9" t="s">
        <v>197</v>
      </c>
      <c r="G23" s="8" t="s">
        <v>198</v>
      </c>
      <c r="H23" s="9" t="s">
        <v>199</v>
      </c>
      <c r="I23" s="8" t="s">
        <v>200</v>
      </c>
      <c r="J23" s="9" t="s">
        <v>201</v>
      </c>
      <c r="K23" s="8" t="s">
        <v>202</v>
      </c>
      <c r="L23" s="9" t="s">
        <v>203</v>
      </c>
      <c r="M23" s="8" t="s">
        <v>204</v>
      </c>
      <c r="N23" s="9" t="s">
        <v>205</v>
      </c>
      <c r="O23" s="9" t="s">
        <v>206</v>
      </c>
    </row>
    <row r="24" spans="2:15" ht="11.25" customHeight="1" x14ac:dyDescent="0.25">
      <c r="B24" s="14"/>
      <c r="C24" s="14" t="s">
        <v>209</v>
      </c>
      <c r="D24" s="14">
        <v>2</v>
      </c>
      <c r="E24" s="14">
        <v>3</v>
      </c>
      <c r="F24" s="15" t="s">
        <v>210</v>
      </c>
      <c r="G24" s="16" t="s">
        <v>211</v>
      </c>
      <c r="H24" s="15" t="s">
        <v>212</v>
      </c>
      <c r="I24" s="16" t="s">
        <v>213</v>
      </c>
      <c r="J24" s="15" t="s">
        <v>214</v>
      </c>
      <c r="K24" s="16" t="s">
        <v>215</v>
      </c>
      <c r="L24" s="15" t="s">
        <v>216</v>
      </c>
      <c r="M24" s="16" t="s">
        <v>217</v>
      </c>
      <c r="N24" s="15" t="s">
        <v>218</v>
      </c>
      <c r="O24" s="15" t="s">
        <v>219</v>
      </c>
    </row>
    <row r="25" spans="2:15" x14ac:dyDescent="0.25">
      <c r="B25" s="31" t="s">
        <v>21</v>
      </c>
      <c r="C25" s="34">
        <f t="shared" ref="C25:C50" si="2">+D25+E25</f>
        <v>4052</v>
      </c>
      <c r="D25" s="34">
        <v>2045</v>
      </c>
      <c r="E25" s="34">
        <v>2007</v>
      </c>
      <c r="F25" s="35">
        <f t="shared" ref="F25:F50" si="3">+E25/D25</f>
        <v>0.98141809290953541</v>
      </c>
      <c r="G25" s="34">
        <v>1792</v>
      </c>
      <c r="H25" s="35">
        <f t="shared" ref="H25:H50" si="4">+G25/E25</f>
        <v>0.89287493771798709</v>
      </c>
      <c r="I25" s="34">
        <v>215</v>
      </c>
      <c r="J25" s="35">
        <f t="shared" ref="J25:J50" si="5">+I25/E25</f>
        <v>0.10712506228201295</v>
      </c>
      <c r="K25" s="34">
        <v>5</v>
      </c>
      <c r="L25" s="35">
        <f t="shared" ref="L25:L50" si="6">+(D25-E25-K25)/D25</f>
        <v>1.6136919315403422E-2</v>
      </c>
      <c r="M25" s="34">
        <v>266</v>
      </c>
      <c r="N25" s="35">
        <f t="shared" ref="N25:N50" si="7">+M25/D25</f>
        <v>0.13007334963325184</v>
      </c>
      <c r="O25" s="36">
        <f t="shared" ref="O25:O50" si="8">+(F25+H25)/2</f>
        <v>0.93714651531376125</v>
      </c>
    </row>
    <row r="26" spans="2:15" x14ac:dyDescent="0.25">
      <c r="B26" s="31" t="s">
        <v>61</v>
      </c>
      <c r="C26" s="34">
        <f t="shared" si="2"/>
        <v>6922</v>
      </c>
      <c r="D26" s="34">
        <v>3486</v>
      </c>
      <c r="E26" s="34">
        <v>3436</v>
      </c>
      <c r="F26" s="35">
        <f t="shared" si="3"/>
        <v>0.98565691336775674</v>
      </c>
      <c r="G26" s="34">
        <v>3047</v>
      </c>
      <c r="H26" s="35">
        <f t="shared" si="4"/>
        <v>0.88678696158323633</v>
      </c>
      <c r="I26" s="34">
        <v>389</v>
      </c>
      <c r="J26" s="35">
        <f t="shared" si="5"/>
        <v>0.11321303841676368</v>
      </c>
      <c r="K26" s="34">
        <v>10</v>
      </c>
      <c r="L26" s="35">
        <f t="shared" si="6"/>
        <v>1.1474469305794608E-2</v>
      </c>
      <c r="M26" s="34">
        <v>768</v>
      </c>
      <c r="N26" s="35">
        <f t="shared" si="7"/>
        <v>0.22030981067125646</v>
      </c>
      <c r="O26" s="36">
        <f t="shared" si="8"/>
        <v>0.93622193747549654</v>
      </c>
    </row>
    <row r="27" spans="2:15" x14ac:dyDescent="0.25">
      <c r="B27" s="31" t="s">
        <v>147</v>
      </c>
      <c r="C27" s="34">
        <f t="shared" si="2"/>
        <v>5504</v>
      </c>
      <c r="D27" s="34">
        <v>2793</v>
      </c>
      <c r="E27" s="34">
        <v>2711</v>
      </c>
      <c r="F27" s="35">
        <f t="shared" si="3"/>
        <v>0.97064088793412107</v>
      </c>
      <c r="G27" s="34">
        <v>2403</v>
      </c>
      <c r="H27" s="35">
        <f t="shared" si="4"/>
        <v>0.8863887864256732</v>
      </c>
      <c r="I27" s="34">
        <v>308</v>
      </c>
      <c r="J27" s="35">
        <f t="shared" si="5"/>
        <v>0.11361121357432681</v>
      </c>
      <c r="K27" s="34">
        <v>7</v>
      </c>
      <c r="L27" s="35">
        <f t="shared" si="6"/>
        <v>2.6852846401718582E-2</v>
      </c>
      <c r="M27" s="34">
        <v>232</v>
      </c>
      <c r="N27" s="35">
        <f t="shared" si="7"/>
        <v>8.3064804869316153E-2</v>
      </c>
      <c r="O27" s="36">
        <f t="shared" si="8"/>
        <v>0.92851483717989713</v>
      </c>
    </row>
    <row r="28" spans="2:15" x14ac:dyDescent="0.25">
      <c r="B28" s="31" t="s">
        <v>100</v>
      </c>
      <c r="C28" s="34">
        <f t="shared" si="2"/>
        <v>2761</v>
      </c>
      <c r="D28" s="34">
        <v>1400</v>
      </c>
      <c r="E28" s="34">
        <v>1361</v>
      </c>
      <c r="F28" s="35">
        <f t="shared" si="3"/>
        <v>0.9721428571428572</v>
      </c>
      <c r="G28" s="34">
        <v>1192</v>
      </c>
      <c r="H28" s="35">
        <f t="shared" si="4"/>
        <v>0.87582659808963992</v>
      </c>
      <c r="I28" s="34">
        <v>169</v>
      </c>
      <c r="J28" s="35">
        <f t="shared" si="5"/>
        <v>0.12417340191036003</v>
      </c>
      <c r="K28" s="34">
        <v>7</v>
      </c>
      <c r="L28" s="35">
        <f t="shared" si="6"/>
        <v>2.2857142857142857E-2</v>
      </c>
      <c r="M28" s="34">
        <v>255</v>
      </c>
      <c r="N28" s="35">
        <f t="shared" si="7"/>
        <v>0.18214285714285713</v>
      </c>
      <c r="O28" s="36">
        <f t="shared" si="8"/>
        <v>0.9239847276162485</v>
      </c>
    </row>
    <row r="29" spans="2:15" x14ac:dyDescent="0.25">
      <c r="B29" s="31" t="s">
        <v>18</v>
      </c>
      <c r="C29" s="34">
        <f t="shared" si="2"/>
        <v>3562</v>
      </c>
      <c r="D29" s="34">
        <v>1804</v>
      </c>
      <c r="E29" s="34">
        <v>1758</v>
      </c>
      <c r="F29" s="35">
        <f t="shared" si="3"/>
        <v>0.9745011086474501</v>
      </c>
      <c r="G29" s="34">
        <v>1535</v>
      </c>
      <c r="H29" s="35">
        <f t="shared" si="4"/>
        <v>0.87315130830489196</v>
      </c>
      <c r="I29" s="34">
        <v>223</v>
      </c>
      <c r="J29" s="35">
        <f t="shared" si="5"/>
        <v>0.12684869169510807</v>
      </c>
      <c r="K29" s="34">
        <v>2</v>
      </c>
      <c r="L29" s="35">
        <f t="shared" si="6"/>
        <v>2.4390243902439025E-2</v>
      </c>
      <c r="M29" s="34">
        <v>286</v>
      </c>
      <c r="N29" s="35">
        <f t="shared" si="7"/>
        <v>0.15853658536585366</v>
      </c>
      <c r="O29" s="36">
        <f t="shared" si="8"/>
        <v>0.92382620847617103</v>
      </c>
    </row>
    <row r="30" spans="2:15" x14ac:dyDescent="0.25">
      <c r="B30" s="31" t="s">
        <v>72</v>
      </c>
      <c r="C30" s="34">
        <f t="shared" si="2"/>
        <v>4417</v>
      </c>
      <c r="D30" s="34">
        <v>2254</v>
      </c>
      <c r="E30" s="34">
        <v>2163</v>
      </c>
      <c r="F30" s="35">
        <f t="shared" si="3"/>
        <v>0.95962732919254656</v>
      </c>
      <c r="G30" s="34">
        <v>1902</v>
      </c>
      <c r="H30" s="35">
        <f t="shared" si="4"/>
        <v>0.87933425797503473</v>
      </c>
      <c r="I30" s="34">
        <v>261</v>
      </c>
      <c r="J30" s="35">
        <f t="shared" si="5"/>
        <v>0.12066574202496533</v>
      </c>
      <c r="K30" s="34">
        <v>2</v>
      </c>
      <c r="L30" s="35">
        <f t="shared" si="6"/>
        <v>3.9485359361135758E-2</v>
      </c>
      <c r="M30" s="34">
        <v>305</v>
      </c>
      <c r="N30" s="35">
        <f t="shared" si="7"/>
        <v>0.13531499556344276</v>
      </c>
      <c r="O30" s="36">
        <f t="shared" si="8"/>
        <v>0.91948079358379065</v>
      </c>
    </row>
    <row r="31" spans="2:15" x14ac:dyDescent="0.25">
      <c r="B31" s="31" t="s">
        <v>103</v>
      </c>
      <c r="C31" s="34">
        <f t="shared" si="2"/>
        <v>5580</v>
      </c>
      <c r="D31" s="34">
        <v>2886</v>
      </c>
      <c r="E31" s="34">
        <v>2694</v>
      </c>
      <c r="F31" s="35">
        <f t="shared" si="3"/>
        <v>0.93347193347193347</v>
      </c>
      <c r="G31" s="34">
        <v>2433</v>
      </c>
      <c r="H31" s="35">
        <f t="shared" si="4"/>
        <v>0.9031180400890868</v>
      </c>
      <c r="I31" s="34">
        <v>261</v>
      </c>
      <c r="J31" s="35">
        <f t="shared" si="5"/>
        <v>9.688195991091314E-2</v>
      </c>
      <c r="K31" s="34">
        <v>33</v>
      </c>
      <c r="L31" s="35">
        <f t="shared" si="6"/>
        <v>5.5093555093555097E-2</v>
      </c>
      <c r="M31" s="34">
        <v>490</v>
      </c>
      <c r="N31" s="35">
        <f t="shared" si="7"/>
        <v>0.16978516978516978</v>
      </c>
      <c r="O31" s="36">
        <f t="shared" si="8"/>
        <v>0.91829498678051014</v>
      </c>
    </row>
    <row r="32" spans="2:15" x14ac:dyDescent="0.25">
      <c r="B32" s="31" t="s">
        <v>133</v>
      </c>
      <c r="C32" s="34">
        <f t="shared" si="2"/>
        <v>2368</v>
      </c>
      <c r="D32" s="34">
        <v>1201</v>
      </c>
      <c r="E32" s="34">
        <v>1167</v>
      </c>
      <c r="F32" s="35">
        <f t="shared" si="3"/>
        <v>0.97169025811823484</v>
      </c>
      <c r="G32" s="34">
        <v>1002</v>
      </c>
      <c r="H32" s="35">
        <f t="shared" si="4"/>
        <v>0.8586118251928021</v>
      </c>
      <c r="I32" s="34">
        <v>165</v>
      </c>
      <c r="J32" s="35">
        <f t="shared" si="5"/>
        <v>0.14138817480719795</v>
      </c>
      <c r="K32" s="34">
        <v>1</v>
      </c>
      <c r="L32" s="35">
        <f t="shared" si="6"/>
        <v>2.7477102414654453E-2</v>
      </c>
      <c r="M32" s="34">
        <v>206</v>
      </c>
      <c r="N32" s="35">
        <f t="shared" si="7"/>
        <v>0.17152373022481265</v>
      </c>
      <c r="O32" s="36">
        <f t="shared" si="8"/>
        <v>0.91515104165551842</v>
      </c>
    </row>
    <row r="33" spans="2:15" x14ac:dyDescent="0.25">
      <c r="B33" s="31" t="s">
        <v>95</v>
      </c>
      <c r="C33" s="34">
        <f t="shared" si="2"/>
        <v>1525</v>
      </c>
      <c r="D33" s="34">
        <v>772</v>
      </c>
      <c r="E33" s="34">
        <v>753</v>
      </c>
      <c r="F33" s="35">
        <f t="shared" si="3"/>
        <v>0.97538860103626945</v>
      </c>
      <c r="G33" s="34">
        <v>641</v>
      </c>
      <c r="H33" s="35">
        <f t="shared" si="4"/>
        <v>0.851261620185923</v>
      </c>
      <c r="I33" s="34">
        <v>112</v>
      </c>
      <c r="J33" s="35">
        <f t="shared" si="5"/>
        <v>0.14873837981407703</v>
      </c>
      <c r="K33" s="34">
        <v>0</v>
      </c>
      <c r="L33" s="35">
        <f t="shared" si="6"/>
        <v>2.4611398963730571E-2</v>
      </c>
      <c r="M33" s="34">
        <v>93</v>
      </c>
      <c r="N33" s="35">
        <f t="shared" si="7"/>
        <v>0.12046632124352331</v>
      </c>
      <c r="O33" s="36">
        <f t="shared" si="8"/>
        <v>0.91332511061109622</v>
      </c>
    </row>
    <row r="34" spans="2:15" x14ac:dyDescent="0.25">
      <c r="B34" s="31" t="s">
        <v>94</v>
      </c>
      <c r="C34" s="34">
        <f t="shared" si="2"/>
        <v>3610</v>
      </c>
      <c r="D34" s="34">
        <v>1847</v>
      </c>
      <c r="E34" s="34">
        <v>1763</v>
      </c>
      <c r="F34" s="35">
        <f t="shared" si="3"/>
        <v>0.95452084461288578</v>
      </c>
      <c r="G34" s="34">
        <v>1535</v>
      </c>
      <c r="H34" s="35">
        <f t="shared" si="4"/>
        <v>0.87067498581962566</v>
      </c>
      <c r="I34" s="34">
        <v>228</v>
      </c>
      <c r="J34" s="35">
        <f t="shared" si="5"/>
        <v>0.12932501418037437</v>
      </c>
      <c r="K34" s="34">
        <v>6</v>
      </c>
      <c r="L34" s="35">
        <f t="shared" si="6"/>
        <v>4.2230644288034649E-2</v>
      </c>
      <c r="M34" s="34">
        <v>213</v>
      </c>
      <c r="N34" s="35">
        <f t="shared" si="7"/>
        <v>0.11532214401732539</v>
      </c>
      <c r="O34" s="36">
        <f t="shared" si="8"/>
        <v>0.91259791521625577</v>
      </c>
    </row>
    <row r="35" spans="2:15" x14ac:dyDescent="0.25">
      <c r="B35" s="31" t="s">
        <v>51</v>
      </c>
      <c r="C35" s="34">
        <f t="shared" si="2"/>
        <v>5005</v>
      </c>
      <c r="D35" s="34">
        <v>2602</v>
      </c>
      <c r="E35" s="34">
        <v>2403</v>
      </c>
      <c r="F35" s="35">
        <f t="shared" si="3"/>
        <v>0.92352036894696388</v>
      </c>
      <c r="G35" s="34">
        <v>2162</v>
      </c>
      <c r="H35" s="35">
        <f t="shared" si="4"/>
        <v>0.8997086974615065</v>
      </c>
      <c r="I35" s="34">
        <v>241</v>
      </c>
      <c r="J35" s="35">
        <f t="shared" si="5"/>
        <v>0.10029130253849355</v>
      </c>
      <c r="K35" s="34">
        <v>65</v>
      </c>
      <c r="L35" s="35">
        <f t="shared" si="6"/>
        <v>5.1498847040737893E-2</v>
      </c>
      <c r="M35" s="34">
        <v>156</v>
      </c>
      <c r="N35" s="35">
        <f t="shared" si="7"/>
        <v>5.9953881629515759E-2</v>
      </c>
      <c r="O35" s="36">
        <f t="shared" si="8"/>
        <v>0.91161453320423513</v>
      </c>
    </row>
    <row r="36" spans="2:15" x14ac:dyDescent="0.25">
      <c r="B36" s="31" t="s">
        <v>131</v>
      </c>
      <c r="C36" s="34">
        <f t="shared" si="2"/>
        <v>2686</v>
      </c>
      <c r="D36" s="34">
        <v>1363</v>
      </c>
      <c r="E36" s="34">
        <v>1323</v>
      </c>
      <c r="F36" s="35">
        <f t="shared" si="3"/>
        <v>0.97065297138664708</v>
      </c>
      <c r="G36" s="34">
        <v>1117</v>
      </c>
      <c r="H36" s="35">
        <f t="shared" si="4"/>
        <v>0.84429327286470146</v>
      </c>
      <c r="I36" s="34">
        <v>206</v>
      </c>
      <c r="J36" s="35">
        <f t="shared" si="5"/>
        <v>0.15570672713529857</v>
      </c>
      <c r="K36" s="34">
        <v>2</v>
      </c>
      <c r="L36" s="35">
        <f t="shared" si="6"/>
        <v>2.7879677182685254E-2</v>
      </c>
      <c r="M36" s="34">
        <v>165</v>
      </c>
      <c r="N36" s="35">
        <f t="shared" si="7"/>
        <v>0.1210564930300807</v>
      </c>
      <c r="O36" s="36">
        <f t="shared" si="8"/>
        <v>0.90747312212567421</v>
      </c>
    </row>
    <row r="37" spans="2:15" x14ac:dyDescent="0.25">
      <c r="B37" s="31" t="s">
        <v>71</v>
      </c>
      <c r="C37" s="34">
        <f t="shared" si="2"/>
        <v>6059</v>
      </c>
      <c r="D37" s="34">
        <v>3138</v>
      </c>
      <c r="E37" s="34">
        <v>2921</v>
      </c>
      <c r="F37" s="35">
        <f t="shared" si="3"/>
        <v>0.93084767367750154</v>
      </c>
      <c r="G37" s="34">
        <v>2578</v>
      </c>
      <c r="H37" s="35">
        <f t="shared" si="4"/>
        <v>0.88257446080109547</v>
      </c>
      <c r="I37" s="34">
        <v>343</v>
      </c>
      <c r="J37" s="35">
        <f t="shared" si="5"/>
        <v>0.11742553919890449</v>
      </c>
      <c r="K37" s="34">
        <v>4</v>
      </c>
      <c r="L37" s="35">
        <f t="shared" si="6"/>
        <v>6.7877629063097508E-2</v>
      </c>
      <c r="M37" s="34">
        <v>160</v>
      </c>
      <c r="N37" s="35">
        <f t="shared" si="7"/>
        <v>5.098789037603569E-2</v>
      </c>
      <c r="O37" s="36">
        <f t="shared" si="8"/>
        <v>0.90671106723929851</v>
      </c>
    </row>
    <row r="38" spans="2:15" x14ac:dyDescent="0.25">
      <c r="B38" s="31" t="s">
        <v>109</v>
      </c>
      <c r="C38" s="34">
        <f t="shared" si="2"/>
        <v>1653</v>
      </c>
      <c r="D38" s="34">
        <v>837</v>
      </c>
      <c r="E38" s="34">
        <v>816</v>
      </c>
      <c r="F38" s="35">
        <f t="shared" si="3"/>
        <v>0.97491039426523296</v>
      </c>
      <c r="G38" s="34">
        <v>674</v>
      </c>
      <c r="H38" s="35">
        <f t="shared" si="4"/>
        <v>0.8259803921568627</v>
      </c>
      <c r="I38" s="34">
        <v>142</v>
      </c>
      <c r="J38" s="35">
        <f t="shared" si="5"/>
        <v>0.17401960784313725</v>
      </c>
      <c r="K38" s="34">
        <v>1</v>
      </c>
      <c r="L38" s="35">
        <f t="shared" si="6"/>
        <v>2.3894862604540025E-2</v>
      </c>
      <c r="M38" s="34">
        <v>168</v>
      </c>
      <c r="N38" s="35">
        <f t="shared" si="7"/>
        <v>0.20071684587813621</v>
      </c>
      <c r="O38" s="36">
        <f t="shared" si="8"/>
        <v>0.90044539321104788</v>
      </c>
    </row>
    <row r="39" spans="2:15" x14ac:dyDescent="0.25">
      <c r="B39" s="31" t="s">
        <v>26</v>
      </c>
      <c r="C39" s="34">
        <f t="shared" si="2"/>
        <v>3718</v>
      </c>
      <c r="D39" s="34">
        <v>1915</v>
      </c>
      <c r="E39" s="34">
        <v>1803</v>
      </c>
      <c r="F39" s="35">
        <f t="shared" si="3"/>
        <v>0.94151436031331592</v>
      </c>
      <c r="G39" s="34">
        <v>1536</v>
      </c>
      <c r="H39" s="35">
        <f t="shared" si="4"/>
        <v>0.85191347753743762</v>
      </c>
      <c r="I39" s="34">
        <v>267</v>
      </c>
      <c r="J39" s="35">
        <f t="shared" si="5"/>
        <v>0.1480865224625624</v>
      </c>
      <c r="K39" s="34">
        <v>6</v>
      </c>
      <c r="L39" s="35">
        <f t="shared" si="6"/>
        <v>5.535248041775457E-2</v>
      </c>
      <c r="M39" s="34">
        <v>275</v>
      </c>
      <c r="N39" s="35">
        <f t="shared" si="7"/>
        <v>0.14360313315926893</v>
      </c>
      <c r="O39" s="36">
        <f t="shared" si="8"/>
        <v>0.89671391892537677</v>
      </c>
    </row>
    <row r="40" spans="2:15" x14ac:dyDescent="0.25">
      <c r="B40" s="31" t="s">
        <v>30</v>
      </c>
      <c r="C40" s="34">
        <f t="shared" si="2"/>
        <v>2164</v>
      </c>
      <c r="D40" s="34">
        <v>1097</v>
      </c>
      <c r="E40" s="34">
        <v>1067</v>
      </c>
      <c r="F40" s="35">
        <f t="shared" si="3"/>
        <v>0.97265268915223335</v>
      </c>
      <c r="G40" s="34">
        <v>867</v>
      </c>
      <c r="H40" s="35">
        <f t="shared" si="4"/>
        <v>0.8125585754451734</v>
      </c>
      <c r="I40" s="34">
        <v>200</v>
      </c>
      <c r="J40" s="35">
        <f t="shared" si="5"/>
        <v>0.18744142455482662</v>
      </c>
      <c r="K40" s="34">
        <v>0</v>
      </c>
      <c r="L40" s="35">
        <f t="shared" si="6"/>
        <v>2.7347310847766638E-2</v>
      </c>
      <c r="M40" s="34">
        <v>151</v>
      </c>
      <c r="N40" s="35">
        <f t="shared" si="7"/>
        <v>0.13764813126709208</v>
      </c>
      <c r="O40" s="36">
        <f t="shared" si="8"/>
        <v>0.89260563229870338</v>
      </c>
    </row>
    <row r="41" spans="2:15" x14ac:dyDescent="0.25">
      <c r="B41" s="31" t="s">
        <v>20</v>
      </c>
      <c r="C41" s="34">
        <f t="shared" si="2"/>
        <v>6740</v>
      </c>
      <c r="D41" s="34">
        <v>3425</v>
      </c>
      <c r="E41" s="34">
        <v>3315</v>
      </c>
      <c r="F41" s="35">
        <f t="shared" si="3"/>
        <v>0.96788321167883207</v>
      </c>
      <c r="G41" s="34">
        <v>2696</v>
      </c>
      <c r="H41" s="35">
        <f t="shared" si="4"/>
        <v>0.81327300150829562</v>
      </c>
      <c r="I41" s="34">
        <v>619</v>
      </c>
      <c r="J41" s="35">
        <f t="shared" si="5"/>
        <v>0.18672699849170438</v>
      </c>
      <c r="K41" s="34">
        <v>11</v>
      </c>
      <c r="L41" s="35">
        <f t="shared" si="6"/>
        <v>2.8905109489051097E-2</v>
      </c>
      <c r="M41" s="34">
        <v>727</v>
      </c>
      <c r="N41" s="35">
        <f t="shared" si="7"/>
        <v>0.21226277372262772</v>
      </c>
      <c r="O41" s="36">
        <f t="shared" si="8"/>
        <v>0.89057810659356385</v>
      </c>
    </row>
    <row r="42" spans="2:15" x14ac:dyDescent="0.25">
      <c r="B42" s="31" t="s">
        <v>29</v>
      </c>
      <c r="C42" s="34">
        <f t="shared" si="2"/>
        <v>2000</v>
      </c>
      <c r="D42" s="34">
        <v>1033</v>
      </c>
      <c r="E42" s="34">
        <v>967</v>
      </c>
      <c r="F42" s="35">
        <f t="shared" si="3"/>
        <v>0.93610842207163603</v>
      </c>
      <c r="G42" s="34">
        <v>817</v>
      </c>
      <c r="H42" s="35">
        <f t="shared" si="4"/>
        <v>0.84488107549120994</v>
      </c>
      <c r="I42" s="34">
        <v>150</v>
      </c>
      <c r="J42" s="35">
        <f t="shared" si="5"/>
        <v>0.15511892450879008</v>
      </c>
      <c r="K42" s="34">
        <v>12</v>
      </c>
      <c r="L42" s="35">
        <f t="shared" si="6"/>
        <v>5.2274927395934173E-2</v>
      </c>
      <c r="M42" s="34">
        <v>134</v>
      </c>
      <c r="N42" s="35">
        <f t="shared" si="7"/>
        <v>0.12971926427879962</v>
      </c>
      <c r="O42" s="36">
        <f t="shared" si="8"/>
        <v>0.89049474878142298</v>
      </c>
    </row>
    <row r="43" spans="2:15" x14ac:dyDescent="0.25">
      <c r="B43" s="31" t="s">
        <v>129</v>
      </c>
      <c r="C43" s="34">
        <f t="shared" si="2"/>
        <v>2828</v>
      </c>
      <c r="D43" s="34">
        <v>1433</v>
      </c>
      <c r="E43" s="34">
        <v>1395</v>
      </c>
      <c r="F43" s="35">
        <f t="shared" si="3"/>
        <v>0.97348220516399164</v>
      </c>
      <c r="G43" s="34">
        <v>1126</v>
      </c>
      <c r="H43" s="35">
        <f t="shared" si="4"/>
        <v>0.80716845878136201</v>
      </c>
      <c r="I43" s="34">
        <v>269</v>
      </c>
      <c r="J43" s="35">
        <f t="shared" si="5"/>
        <v>0.19283154121863799</v>
      </c>
      <c r="K43" s="34">
        <v>1</v>
      </c>
      <c r="L43" s="35">
        <f t="shared" si="6"/>
        <v>2.5819958129797628E-2</v>
      </c>
      <c r="M43" s="34">
        <v>162</v>
      </c>
      <c r="N43" s="35">
        <f t="shared" si="7"/>
        <v>0.11304954640614097</v>
      </c>
      <c r="O43" s="36">
        <f t="shared" si="8"/>
        <v>0.89032533197267683</v>
      </c>
    </row>
    <row r="44" spans="2:15" x14ac:dyDescent="0.25">
      <c r="B44" s="31" t="s">
        <v>69</v>
      </c>
      <c r="C44" s="34">
        <f t="shared" si="2"/>
        <v>2831</v>
      </c>
      <c r="D44" s="34">
        <v>1454</v>
      </c>
      <c r="E44" s="34">
        <v>1377</v>
      </c>
      <c r="F44" s="35">
        <f t="shared" si="3"/>
        <v>0.94704264099037139</v>
      </c>
      <c r="G44" s="34">
        <v>1114</v>
      </c>
      <c r="H44" s="35">
        <f t="shared" si="4"/>
        <v>0.80900508351488742</v>
      </c>
      <c r="I44" s="34">
        <v>263</v>
      </c>
      <c r="J44" s="35">
        <f t="shared" si="5"/>
        <v>0.19099491648511258</v>
      </c>
      <c r="K44" s="34">
        <v>2</v>
      </c>
      <c r="L44" s="35">
        <f t="shared" si="6"/>
        <v>5.15818431911967E-2</v>
      </c>
      <c r="M44" s="34">
        <v>210</v>
      </c>
      <c r="N44" s="35">
        <f t="shared" si="7"/>
        <v>0.14442916093535077</v>
      </c>
      <c r="O44" s="36">
        <f t="shared" si="8"/>
        <v>0.87802386225262941</v>
      </c>
    </row>
    <row r="45" spans="2:15" x14ac:dyDescent="0.25">
      <c r="B45" s="31" t="s">
        <v>98</v>
      </c>
      <c r="C45" s="34">
        <f t="shared" si="2"/>
        <v>16998</v>
      </c>
      <c r="D45" s="34">
        <v>8914</v>
      </c>
      <c r="E45" s="34">
        <v>8084</v>
      </c>
      <c r="F45" s="35">
        <f t="shared" si="3"/>
        <v>0.90688804128337441</v>
      </c>
      <c r="G45" s="34">
        <v>6827</v>
      </c>
      <c r="H45" s="35">
        <f t="shared" si="4"/>
        <v>0.84450766947055911</v>
      </c>
      <c r="I45" s="34">
        <v>1257</v>
      </c>
      <c r="J45" s="35">
        <f t="shared" si="5"/>
        <v>0.15549233052944086</v>
      </c>
      <c r="K45" s="34">
        <v>11</v>
      </c>
      <c r="L45" s="35">
        <f t="shared" si="6"/>
        <v>9.1877944805923262E-2</v>
      </c>
      <c r="M45" s="34">
        <v>1448</v>
      </c>
      <c r="N45" s="35">
        <f t="shared" si="7"/>
        <v>0.16244110388153465</v>
      </c>
      <c r="O45" s="36">
        <f t="shared" si="8"/>
        <v>0.87569785537696676</v>
      </c>
    </row>
    <row r="46" spans="2:15" x14ac:dyDescent="0.25">
      <c r="B46" s="31" t="s">
        <v>96</v>
      </c>
      <c r="C46" s="34">
        <f t="shared" si="2"/>
        <v>1128</v>
      </c>
      <c r="D46" s="34">
        <v>573</v>
      </c>
      <c r="E46" s="34">
        <v>555</v>
      </c>
      <c r="F46" s="35">
        <f t="shared" si="3"/>
        <v>0.96858638743455494</v>
      </c>
      <c r="G46" s="34">
        <v>430</v>
      </c>
      <c r="H46" s="35">
        <f t="shared" si="4"/>
        <v>0.77477477477477474</v>
      </c>
      <c r="I46" s="34">
        <v>125</v>
      </c>
      <c r="J46" s="35">
        <f t="shared" si="5"/>
        <v>0.22522522522522523</v>
      </c>
      <c r="K46" s="34">
        <v>6</v>
      </c>
      <c r="L46" s="35">
        <f t="shared" si="6"/>
        <v>2.0942408376963352E-2</v>
      </c>
      <c r="M46" s="34">
        <v>106</v>
      </c>
      <c r="N46" s="35">
        <f t="shared" si="7"/>
        <v>0.18499127399650961</v>
      </c>
      <c r="O46" s="36">
        <f t="shared" si="8"/>
        <v>0.87168058110466484</v>
      </c>
    </row>
    <row r="47" spans="2:15" x14ac:dyDescent="0.25">
      <c r="B47" s="31" t="s">
        <v>191</v>
      </c>
      <c r="C47" s="34">
        <f t="shared" si="2"/>
        <v>5266</v>
      </c>
      <c r="D47" s="34">
        <v>2690</v>
      </c>
      <c r="E47" s="34">
        <v>2576</v>
      </c>
      <c r="F47" s="35">
        <f t="shared" si="3"/>
        <v>0.95762081784386621</v>
      </c>
      <c r="G47" s="34">
        <v>1959</v>
      </c>
      <c r="H47" s="35">
        <f t="shared" si="4"/>
        <v>0.76048136645962738</v>
      </c>
      <c r="I47" s="34">
        <v>617</v>
      </c>
      <c r="J47" s="35">
        <f t="shared" si="5"/>
        <v>0.23951863354037267</v>
      </c>
      <c r="K47" s="34">
        <v>16</v>
      </c>
      <c r="L47" s="35">
        <f t="shared" si="6"/>
        <v>3.6431226765799254E-2</v>
      </c>
      <c r="M47" s="34">
        <v>673</v>
      </c>
      <c r="N47" s="35">
        <f t="shared" si="7"/>
        <v>0.25018587360594796</v>
      </c>
      <c r="O47" s="36">
        <f t="shared" si="8"/>
        <v>0.8590510921517468</v>
      </c>
    </row>
    <row r="48" spans="2:15" x14ac:dyDescent="0.25">
      <c r="B48" s="31" t="s">
        <v>153</v>
      </c>
      <c r="C48" s="34">
        <f t="shared" si="2"/>
        <v>2108</v>
      </c>
      <c r="D48" s="34">
        <v>1089</v>
      </c>
      <c r="E48" s="34">
        <v>1019</v>
      </c>
      <c r="F48" s="35">
        <f t="shared" si="3"/>
        <v>0.93572084481175388</v>
      </c>
      <c r="G48" s="34">
        <v>787</v>
      </c>
      <c r="H48" s="35">
        <f t="shared" si="4"/>
        <v>0.77232580961727182</v>
      </c>
      <c r="I48" s="34">
        <v>232</v>
      </c>
      <c r="J48" s="35">
        <f t="shared" si="5"/>
        <v>0.22767419038272815</v>
      </c>
      <c r="K48" s="34">
        <v>16</v>
      </c>
      <c r="L48" s="35">
        <f t="shared" si="6"/>
        <v>4.9586776859504134E-2</v>
      </c>
      <c r="M48" s="34">
        <v>227</v>
      </c>
      <c r="N48" s="35">
        <f t="shared" si="7"/>
        <v>0.20844811753902662</v>
      </c>
      <c r="O48" s="36">
        <f t="shared" si="8"/>
        <v>0.8540233272145128</v>
      </c>
    </row>
    <row r="49" spans="2:15" x14ac:dyDescent="0.25">
      <c r="B49" s="31" t="s">
        <v>19</v>
      </c>
      <c r="C49" s="34">
        <f t="shared" si="2"/>
        <v>3148</v>
      </c>
      <c r="D49" s="34">
        <v>1622</v>
      </c>
      <c r="E49" s="34">
        <v>1526</v>
      </c>
      <c r="F49" s="35">
        <f t="shared" si="3"/>
        <v>0.94081381011097409</v>
      </c>
      <c r="G49" s="34">
        <v>1126</v>
      </c>
      <c r="H49" s="35">
        <f t="shared" si="4"/>
        <v>0.73787680209698558</v>
      </c>
      <c r="I49" s="34">
        <v>400</v>
      </c>
      <c r="J49" s="35">
        <f t="shared" si="5"/>
        <v>0.26212319790301442</v>
      </c>
      <c r="K49" s="34">
        <v>8</v>
      </c>
      <c r="L49" s="35">
        <f t="shared" si="6"/>
        <v>5.4254007398273733E-2</v>
      </c>
      <c r="M49" s="34">
        <v>395</v>
      </c>
      <c r="N49" s="35">
        <f t="shared" si="7"/>
        <v>0.2435265104808878</v>
      </c>
      <c r="O49" s="36">
        <f t="shared" si="8"/>
        <v>0.83934530610397984</v>
      </c>
    </row>
    <row r="50" spans="2:15" x14ac:dyDescent="0.25">
      <c r="B50" s="31" t="s">
        <v>190</v>
      </c>
      <c r="C50" s="34">
        <f t="shared" si="2"/>
        <v>15017</v>
      </c>
      <c r="D50" s="34">
        <v>8092</v>
      </c>
      <c r="E50" s="34">
        <v>6925</v>
      </c>
      <c r="F50" s="35">
        <f t="shared" si="3"/>
        <v>0.85578348986653485</v>
      </c>
      <c r="G50" s="34">
        <v>4385</v>
      </c>
      <c r="H50" s="35">
        <f t="shared" si="4"/>
        <v>0.6332129963898917</v>
      </c>
      <c r="I50" s="34">
        <v>2540</v>
      </c>
      <c r="J50" s="35">
        <f t="shared" si="5"/>
        <v>0.3667870036101083</v>
      </c>
      <c r="K50" s="34">
        <v>20</v>
      </c>
      <c r="L50" s="35">
        <f t="shared" si="6"/>
        <v>0.14174493326742463</v>
      </c>
      <c r="M50" s="34">
        <v>1805</v>
      </c>
      <c r="N50" s="35">
        <f t="shared" si="7"/>
        <v>0.22305981216015819</v>
      </c>
      <c r="O50" s="36">
        <f t="shared" si="8"/>
        <v>0.74449824312821322</v>
      </c>
    </row>
    <row r="51" spans="2:15" x14ac:dyDescent="0.25">
      <c r="B51" s="26" t="s">
        <v>207</v>
      </c>
      <c r="C51" s="27">
        <f>SUM(C25:C50)</f>
        <v>119650</v>
      </c>
      <c r="D51" s="27">
        <f t="shared" ref="D51:M51" si="9">SUM(D25:D50)</f>
        <v>61765</v>
      </c>
      <c r="E51" s="27">
        <f t="shared" si="9"/>
        <v>57885</v>
      </c>
      <c r="F51" s="28">
        <f t="shared" ref="F51" si="10">+E51/D51</f>
        <v>0.93718125151784992</v>
      </c>
      <c r="G51" s="27">
        <f t="shared" si="9"/>
        <v>47683</v>
      </c>
      <c r="H51" s="28">
        <f t="shared" ref="H51" si="11">+G51/E51</f>
        <v>0.82375399499006652</v>
      </c>
      <c r="I51" s="27">
        <f t="shared" si="9"/>
        <v>10202</v>
      </c>
      <c r="J51" s="28">
        <f t="shared" ref="J51" si="12">+I51/E51</f>
        <v>0.17624600500993348</v>
      </c>
      <c r="K51" s="27">
        <f t="shared" si="9"/>
        <v>254</v>
      </c>
      <c r="L51" s="28">
        <f t="shared" ref="L51" si="13">+(D51-E51-K51)/D51</f>
        <v>5.8706387112442325E-2</v>
      </c>
      <c r="M51" s="27">
        <f t="shared" si="9"/>
        <v>10076</v>
      </c>
      <c r="N51" s="28">
        <f t="shared" ref="N51" si="14">+M51/D51</f>
        <v>0.16313446126447018</v>
      </c>
      <c r="O51" s="29">
        <f t="shared" ref="O51" si="15">+(F51+H51)/2</f>
        <v>0.88046762325395822</v>
      </c>
    </row>
    <row r="53" spans="2:15" x14ac:dyDescent="0.25">
      <c r="B53" s="8" t="s">
        <v>220</v>
      </c>
      <c r="C53" s="17">
        <f>+E51</f>
        <v>57885</v>
      </c>
      <c r="D53" s="6"/>
      <c r="E53" s="6"/>
    </row>
    <row r="54" spans="2:15" x14ac:dyDescent="0.25">
      <c r="B54" s="8" t="s">
        <v>221</v>
      </c>
      <c r="C54" s="17">
        <f>+K51</f>
        <v>254</v>
      </c>
      <c r="D54" s="6"/>
      <c r="E54" s="6"/>
    </row>
    <row r="55" spans="2:15" x14ac:dyDescent="0.25">
      <c r="B55" s="8" t="s">
        <v>222</v>
      </c>
      <c r="C55" s="18">
        <f>+D51-C53-C54</f>
        <v>3626</v>
      </c>
      <c r="D55" s="6"/>
      <c r="E55" s="6"/>
    </row>
    <row r="56" spans="2:15" x14ac:dyDescent="0.25">
      <c r="C56" s="6"/>
      <c r="D56" s="6"/>
      <c r="E56" s="6"/>
    </row>
    <row r="57" spans="2:15" ht="30" x14ac:dyDescent="0.25">
      <c r="B57" s="8" t="s">
        <v>223</v>
      </c>
      <c r="C57" s="18">
        <f>+G51</f>
        <v>47683</v>
      </c>
      <c r="D57" s="6"/>
      <c r="E57" s="6"/>
    </row>
    <row r="58" spans="2:15" ht="30" x14ac:dyDescent="0.25">
      <c r="B58" s="8" t="s">
        <v>224</v>
      </c>
      <c r="C58" s="18">
        <f>+I51</f>
        <v>10202</v>
      </c>
      <c r="D58" s="6"/>
      <c r="E58" s="6"/>
    </row>
    <row r="59" spans="2:15" x14ac:dyDescent="0.25">
      <c r="C59" s="6"/>
      <c r="D59" s="6"/>
      <c r="E59" s="6"/>
    </row>
    <row r="60" spans="2:15" ht="45" x14ac:dyDescent="0.25">
      <c r="B60" s="8" t="s">
        <v>225</v>
      </c>
      <c r="C60" s="18">
        <f>+D51-M51</f>
        <v>51689</v>
      </c>
      <c r="D60" s="19">
        <f>+C60/D51</f>
        <v>0.83686553873552982</v>
      </c>
      <c r="E60" s="6"/>
    </row>
    <row r="61" spans="2:15" ht="30" x14ac:dyDescent="0.25">
      <c r="B61" s="8" t="s">
        <v>226</v>
      </c>
      <c r="C61" s="18">
        <f>+M51</f>
        <v>10076</v>
      </c>
      <c r="D61" s="19">
        <f>+C61/D51</f>
        <v>0.16313446126447018</v>
      </c>
      <c r="E61" s="6"/>
    </row>
  </sheetData>
  <sortState ref="B25:O50">
    <sortCondition descending="1" ref="O25:O50"/>
  </sortState>
  <mergeCells count="1">
    <mergeCell ref="B1:O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
  <sheetViews>
    <sheetView zoomScale="80" zoomScaleNormal="80" workbookViewId="0">
      <selection activeCell="B3" sqref="B3"/>
    </sheetView>
  </sheetViews>
  <sheetFormatPr defaultRowHeight="15" x14ac:dyDescent="0.25"/>
  <cols>
    <col min="1" max="1" width="2.7109375" customWidth="1"/>
    <col min="2" max="2" width="24.28515625" customWidth="1"/>
    <col min="3" max="7" width="12.140625" style="23" customWidth="1"/>
    <col min="8" max="12" width="12.140625" customWidth="1"/>
    <col min="13" max="13" width="3" customWidth="1"/>
    <col min="14" max="14" width="22.42578125" customWidth="1"/>
    <col min="15" max="19" width="15" style="23" customWidth="1"/>
  </cols>
  <sheetData>
    <row r="2" spans="4:19" x14ac:dyDescent="0.25">
      <c r="D2" s="67" t="s">
        <v>239</v>
      </c>
      <c r="E2" s="67"/>
      <c r="F2" s="67"/>
      <c r="G2" s="67"/>
      <c r="H2" s="67"/>
      <c r="I2" s="67"/>
      <c r="J2" s="67"/>
      <c r="K2" s="67"/>
      <c r="L2" s="67"/>
      <c r="M2" s="67"/>
      <c r="N2" s="67"/>
    </row>
    <row r="3" spans="4:19" x14ac:dyDescent="0.25">
      <c r="D3" s="67"/>
      <c r="E3" s="67"/>
      <c r="F3" s="67"/>
      <c r="G3" s="67"/>
      <c r="H3" s="67"/>
      <c r="I3" s="67"/>
      <c r="J3" s="67"/>
      <c r="K3" s="67"/>
      <c r="L3" s="67"/>
      <c r="M3" s="67"/>
      <c r="N3" s="67"/>
    </row>
    <row r="4" spans="4:19" x14ac:dyDescent="0.25">
      <c r="D4" s="67"/>
      <c r="E4" s="67"/>
      <c r="F4" s="67"/>
      <c r="G4" s="67"/>
      <c r="H4" s="67"/>
      <c r="I4" s="67"/>
      <c r="J4" s="67"/>
      <c r="K4" s="67"/>
      <c r="L4" s="67"/>
      <c r="M4" s="67"/>
      <c r="N4" s="67"/>
    </row>
    <row r="5" spans="4:19" x14ac:dyDescent="0.25">
      <c r="D5" s="67"/>
      <c r="E5" s="67"/>
      <c r="F5" s="67"/>
      <c r="G5" s="67"/>
      <c r="H5" s="67"/>
      <c r="I5" s="67"/>
      <c r="J5" s="67"/>
      <c r="K5" s="67"/>
      <c r="L5" s="67"/>
      <c r="M5" s="67"/>
      <c r="N5" s="67"/>
    </row>
    <row r="6" spans="4:19" x14ac:dyDescent="0.25">
      <c r="D6" s="67"/>
      <c r="E6" s="67"/>
      <c r="F6" s="67"/>
      <c r="G6" s="67"/>
      <c r="H6" s="67"/>
      <c r="I6" s="67"/>
      <c r="J6" s="67"/>
      <c r="K6" s="67"/>
      <c r="L6" s="67"/>
      <c r="M6" s="67"/>
      <c r="N6" s="67"/>
    </row>
    <row r="7" spans="4:19" x14ac:dyDescent="0.25">
      <c r="D7" s="67"/>
      <c r="E7" s="67"/>
      <c r="F7" s="67"/>
      <c r="G7" s="67"/>
      <c r="H7" s="67"/>
      <c r="I7" s="67"/>
      <c r="J7" s="67"/>
      <c r="K7" s="67"/>
      <c r="L7" s="67"/>
      <c r="M7" s="67"/>
      <c r="N7" s="67"/>
    </row>
    <row r="9" spans="4:19" ht="15" customHeight="1" x14ac:dyDescent="0.25">
      <c r="E9" s="68" t="s">
        <v>240</v>
      </c>
      <c r="F9" s="69"/>
      <c r="G9" s="70"/>
      <c r="Q9" s="68" t="s">
        <v>240</v>
      </c>
      <c r="R9" s="69"/>
      <c r="S9" s="70"/>
    </row>
    <row r="10" spans="4:19" x14ac:dyDescent="0.25">
      <c r="E10" s="71"/>
      <c r="F10" s="72"/>
      <c r="G10" s="73"/>
      <c r="Q10" s="71"/>
      <c r="R10" s="72"/>
      <c r="S10" s="73"/>
    </row>
    <row r="11" spans="4:19" x14ac:dyDescent="0.25">
      <c r="E11" s="74"/>
      <c r="F11" s="75"/>
      <c r="G11" s="76"/>
      <c r="Q11" s="74"/>
      <c r="R11" s="75"/>
      <c r="S11" s="76"/>
    </row>
    <row r="13" spans="4:19" x14ac:dyDescent="0.25">
      <c r="E13" s="77" t="s">
        <v>241</v>
      </c>
      <c r="F13" s="78"/>
      <c r="G13" s="79"/>
      <c r="Q13" s="77" t="s">
        <v>241</v>
      </c>
      <c r="R13" s="78"/>
      <c r="S13" s="79"/>
    </row>
    <row r="14" spans="4:19" x14ac:dyDescent="0.25">
      <c r="E14" s="80"/>
      <c r="F14" s="81"/>
      <c r="G14" s="82"/>
      <c r="Q14" s="80"/>
      <c r="R14" s="81"/>
      <c r="S14" s="82"/>
    </row>
    <row r="15" spans="4:19" x14ac:dyDescent="0.25">
      <c r="E15" s="80"/>
      <c r="F15" s="81"/>
      <c r="G15" s="82"/>
      <c r="Q15" s="80"/>
      <c r="R15" s="81"/>
      <c r="S15" s="82"/>
    </row>
    <row r="16" spans="4:19" x14ac:dyDescent="0.25">
      <c r="E16" s="80"/>
      <c r="F16" s="81"/>
      <c r="G16" s="82"/>
      <c r="Q16" s="80"/>
      <c r="R16" s="81"/>
      <c r="S16" s="82"/>
    </row>
    <row r="17" spans="2:19" x14ac:dyDescent="0.25">
      <c r="E17" s="83"/>
      <c r="F17" s="84"/>
      <c r="G17" s="85"/>
      <c r="Q17" s="83"/>
      <c r="R17" s="84"/>
      <c r="S17" s="85"/>
    </row>
    <row r="19" spans="2:19" ht="75" x14ac:dyDescent="0.25">
      <c r="B19" s="21" t="s">
        <v>227</v>
      </c>
      <c r="C19" s="22" t="s">
        <v>228</v>
      </c>
      <c r="D19" s="22" t="s">
        <v>196</v>
      </c>
      <c r="E19" s="22" t="s">
        <v>234</v>
      </c>
      <c r="F19" s="22" t="s">
        <v>198</v>
      </c>
      <c r="G19" s="22" t="s">
        <v>235</v>
      </c>
      <c r="H19" s="22" t="s">
        <v>200</v>
      </c>
      <c r="I19" s="22" t="s">
        <v>236</v>
      </c>
      <c r="J19" s="22" t="s">
        <v>202</v>
      </c>
      <c r="K19" s="22" t="s">
        <v>237</v>
      </c>
      <c r="L19" s="22" t="s">
        <v>238</v>
      </c>
      <c r="N19" s="21" t="s">
        <v>229</v>
      </c>
      <c r="O19" s="22" t="s">
        <v>204</v>
      </c>
      <c r="P19" s="22" t="s">
        <v>230</v>
      </c>
      <c r="Q19" s="22" t="s">
        <v>231</v>
      </c>
      <c r="R19" s="22" t="s">
        <v>232</v>
      </c>
      <c r="S19" s="22" t="s">
        <v>233</v>
      </c>
    </row>
    <row r="20" spans="2:19" x14ac:dyDescent="0.25">
      <c r="B20" s="20" t="s">
        <v>190</v>
      </c>
      <c r="C20" s="24">
        <v>8092</v>
      </c>
      <c r="D20" s="24">
        <v>6925</v>
      </c>
      <c r="E20" s="30">
        <v>0.85578348986653485</v>
      </c>
      <c r="F20" s="24">
        <v>4385</v>
      </c>
      <c r="G20" s="30">
        <v>0.6332129963898917</v>
      </c>
      <c r="H20" s="24">
        <v>2540</v>
      </c>
      <c r="I20" s="30">
        <v>0.3667870036101083</v>
      </c>
      <c r="J20" s="24">
        <v>20</v>
      </c>
      <c r="K20" s="30">
        <v>0.14174493326742463</v>
      </c>
      <c r="L20" s="30">
        <v>0.74449824312821322</v>
      </c>
      <c r="N20" s="20" t="s">
        <v>190</v>
      </c>
      <c r="O20" s="24">
        <v>1805</v>
      </c>
      <c r="P20" s="24">
        <v>1573</v>
      </c>
      <c r="Q20" s="24">
        <v>880</v>
      </c>
      <c r="R20" s="24">
        <v>693</v>
      </c>
      <c r="S20" s="24">
        <v>10</v>
      </c>
    </row>
    <row r="21" spans="2:19" x14ac:dyDescent="0.25">
      <c r="B21" s="20" t="s">
        <v>72</v>
      </c>
      <c r="C21" s="24">
        <v>2254</v>
      </c>
      <c r="D21" s="24">
        <v>2163</v>
      </c>
      <c r="E21" s="30">
        <v>0.95962732919254656</v>
      </c>
      <c r="F21" s="24">
        <v>1902</v>
      </c>
      <c r="G21" s="30">
        <v>0.87933425797503473</v>
      </c>
      <c r="H21" s="24">
        <v>261</v>
      </c>
      <c r="I21" s="30">
        <v>0.12066574202496533</v>
      </c>
      <c r="J21" s="24">
        <v>2</v>
      </c>
      <c r="K21" s="30">
        <v>3.9485359361135758E-2</v>
      </c>
      <c r="L21" s="30">
        <v>0.91948079358379065</v>
      </c>
      <c r="N21" s="20" t="s">
        <v>72</v>
      </c>
      <c r="O21" s="24">
        <v>305</v>
      </c>
      <c r="P21" s="24">
        <v>300</v>
      </c>
      <c r="Q21" s="24">
        <v>248</v>
      </c>
      <c r="R21" s="24">
        <v>52</v>
      </c>
      <c r="S21" s="24">
        <v>0</v>
      </c>
    </row>
    <row r="22" spans="2:19" x14ac:dyDescent="0.25">
      <c r="B22" s="20" t="s">
        <v>109</v>
      </c>
      <c r="C22" s="24">
        <v>837</v>
      </c>
      <c r="D22" s="24">
        <v>816</v>
      </c>
      <c r="E22" s="30">
        <v>0.97491039426523296</v>
      </c>
      <c r="F22" s="24">
        <v>674</v>
      </c>
      <c r="G22" s="30">
        <v>0.8259803921568627</v>
      </c>
      <c r="H22" s="24">
        <v>142</v>
      </c>
      <c r="I22" s="30">
        <v>0.17401960784313725</v>
      </c>
      <c r="J22" s="24">
        <v>1</v>
      </c>
      <c r="K22" s="30">
        <v>2.3894862604540025E-2</v>
      </c>
      <c r="L22" s="30">
        <v>0.90044539321104788</v>
      </c>
      <c r="N22" s="20" t="s">
        <v>109</v>
      </c>
      <c r="O22" s="24">
        <v>168</v>
      </c>
      <c r="P22" s="24">
        <v>165</v>
      </c>
      <c r="Q22" s="24">
        <v>124</v>
      </c>
      <c r="R22" s="24">
        <v>41</v>
      </c>
      <c r="S22" s="24">
        <v>1</v>
      </c>
    </row>
    <row r="23" spans="2:19" x14ac:dyDescent="0.25">
      <c r="B23" s="20" t="s">
        <v>133</v>
      </c>
      <c r="C23" s="24">
        <v>1201</v>
      </c>
      <c r="D23" s="24">
        <v>1167</v>
      </c>
      <c r="E23" s="30">
        <v>0.97169025811823484</v>
      </c>
      <c r="F23" s="24">
        <v>1002</v>
      </c>
      <c r="G23" s="30">
        <v>0.8586118251928021</v>
      </c>
      <c r="H23" s="24">
        <v>165</v>
      </c>
      <c r="I23" s="30">
        <v>0.14138817480719795</v>
      </c>
      <c r="J23" s="24">
        <v>1</v>
      </c>
      <c r="K23" s="30">
        <v>2.7477102414654453E-2</v>
      </c>
      <c r="L23" s="30">
        <v>0.91515104165551842</v>
      </c>
      <c r="N23" s="20" t="s">
        <v>133</v>
      </c>
      <c r="O23" s="24">
        <v>206</v>
      </c>
      <c r="P23" s="24">
        <v>200</v>
      </c>
      <c r="Q23" s="24">
        <v>162</v>
      </c>
      <c r="R23" s="24">
        <v>38</v>
      </c>
      <c r="S23" s="24">
        <v>0</v>
      </c>
    </row>
    <row r="24" spans="2:19" x14ac:dyDescent="0.25">
      <c r="B24" s="20" t="s">
        <v>96</v>
      </c>
      <c r="C24" s="24">
        <v>573</v>
      </c>
      <c r="D24" s="24">
        <v>555</v>
      </c>
      <c r="E24" s="30">
        <v>0.96858638743455494</v>
      </c>
      <c r="F24" s="24">
        <v>430</v>
      </c>
      <c r="G24" s="30">
        <v>0.77477477477477474</v>
      </c>
      <c r="H24" s="24">
        <v>125</v>
      </c>
      <c r="I24" s="30">
        <v>0.22522522522522523</v>
      </c>
      <c r="J24" s="24">
        <v>6</v>
      </c>
      <c r="K24" s="30">
        <v>2.0942408376963352E-2</v>
      </c>
      <c r="L24" s="30">
        <v>0.87168058110466484</v>
      </c>
      <c r="N24" s="20" t="s">
        <v>96</v>
      </c>
      <c r="O24" s="24">
        <v>106</v>
      </c>
      <c r="P24" s="24">
        <v>102</v>
      </c>
      <c r="Q24" s="24">
        <v>79</v>
      </c>
      <c r="R24" s="24">
        <v>23</v>
      </c>
      <c r="S24" s="24">
        <v>3</v>
      </c>
    </row>
    <row r="25" spans="2:19" x14ac:dyDescent="0.25">
      <c r="B25" s="20" t="s">
        <v>94</v>
      </c>
      <c r="C25" s="24">
        <v>1847</v>
      </c>
      <c r="D25" s="24">
        <v>1763</v>
      </c>
      <c r="E25" s="30">
        <v>0.95452084461288578</v>
      </c>
      <c r="F25" s="24">
        <v>1535</v>
      </c>
      <c r="G25" s="30">
        <v>0.87067498581962566</v>
      </c>
      <c r="H25" s="24">
        <v>228</v>
      </c>
      <c r="I25" s="30">
        <v>0.12932501418037437</v>
      </c>
      <c r="J25" s="24">
        <v>6</v>
      </c>
      <c r="K25" s="30">
        <v>4.2230644288034649E-2</v>
      </c>
      <c r="L25" s="30">
        <v>0.91259791521625577</v>
      </c>
      <c r="N25" s="20" t="s">
        <v>94</v>
      </c>
      <c r="O25" s="24">
        <v>213</v>
      </c>
      <c r="P25" s="24">
        <v>202</v>
      </c>
      <c r="Q25" s="24">
        <v>168</v>
      </c>
      <c r="R25" s="24">
        <v>34</v>
      </c>
      <c r="S25" s="24">
        <v>1</v>
      </c>
    </row>
    <row r="26" spans="2:19" x14ac:dyDescent="0.25">
      <c r="B26" s="20" t="s">
        <v>29</v>
      </c>
      <c r="C26" s="24">
        <v>1033</v>
      </c>
      <c r="D26" s="24">
        <v>967</v>
      </c>
      <c r="E26" s="30">
        <v>0.93610842207163603</v>
      </c>
      <c r="F26" s="24">
        <v>817</v>
      </c>
      <c r="G26" s="30">
        <v>0.84488107549120994</v>
      </c>
      <c r="H26" s="24">
        <v>150</v>
      </c>
      <c r="I26" s="30">
        <v>0.15511892450879008</v>
      </c>
      <c r="J26" s="24">
        <v>12</v>
      </c>
      <c r="K26" s="30">
        <v>5.2274927395934173E-2</v>
      </c>
      <c r="L26" s="30">
        <v>0.89049474878142298</v>
      </c>
      <c r="N26" s="20" t="s">
        <v>29</v>
      </c>
      <c r="O26" s="24">
        <v>134</v>
      </c>
      <c r="P26" s="24">
        <v>128</v>
      </c>
      <c r="Q26" s="24">
        <v>107</v>
      </c>
      <c r="R26" s="24">
        <v>21</v>
      </c>
      <c r="S26" s="24">
        <v>3</v>
      </c>
    </row>
    <row r="27" spans="2:19" x14ac:dyDescent="0.25">
      <c r="B27" s="20" t="s">
        <v>95</v>
      </c>
      <c r="C27" s="24">
        <v>772</v>
      </c>
      <c r="D27" s="24">
        <v>753</v>
      </c>
      <c r="E27" s="30">
        <v>0.97538860103626945</v>
      </c>
      <c r="F27" s="24">
        <v>641</v>
      </c>
      <c r="G27" s="30">
        <v>0.851261620185923</v>
      </c>
      <c r="H27" s="24">
        <v>112</v>
      </c>
      <c r="I27" s="30">
        <v>0.14873837981407703</v>
      </c>
      <c r="J27" s="24">
        <v>0</v>
      </c>
      <c r="K27" s="30">
        <v>2.4611398963730571E-2</v>
      </c>
      <c r="L27" s="30">
        <v>0.91332511061109622</v>
      </c>
      <c r="N27" s="20" t="s">
        <v>95</v>
      </c>
      <c r="O27" s="24">
        <v>93</v>
      </c>
      <c r="P27" s="24">
        <v>92</v>
      </c>
      <c r="Q27" s="24">
        <v>80</v>
      </c>
      <c r="R27" s="24">
        <v>12</v>
      </c>
      <c r="S27" s="24">
        <v>0</v>
      </c>
    </row>
    <row r="28" spans="2:19" x14ac:dyDescent="0.25">
      <c r="B28" s="20" t="s">
        <v>71</v>
      </c>
      <c r="C28" s="24">
        <v>3138</v>
      </c>
      <c r="D28" s="24">
        <v>2921</v>
      </c>
      <c r="E28" s="30">
        <v>0.93084767367750154</v>
      </c>
      <c r="F28" s="24">
        <v>2578</v>
      </c>
      <c r="G28" s="30">
        <v>0.88257446080109547</v>
      </c>
      <c r="H28" s="24">
        <v>343</v>
      </c>
      <c r="I28" s="30">
        <v>0.11742553919890449</v>
      </c>
      <c r="J28" s="24">
        <v>4</v>
      </c>
      <c r="K28" s="30">
        <v>6.7877629063097508E-2</v>
      </c>
      <c r="L28" s="30">
        <v>0.90671106723929851</v>
      </c>
      <c r="N28" s="20" t="s">
        <v>71</v>
      </c>
      <c r="O28" s="24">
        <v>160</v>
      </c>
      <c r="P28" s="24">
        <v>144</v>
      </c>
      <c r="Q28" s="24">
        <v>105</v>
      </c>
      <c r="R28" s="24">
        <v>39</v>
      </c>
      <c r="S28" s="24">
        <v>0</v>
      </c>
    </row>
    <row r="29" spans="2:19" x14ac:dyDescent="0.25">
      <c r="B29" s="20" t="s">
        <v>18</v>
      </c>
      <c r="C29" s="24">
        <v>1804</v>
      </c>
      <c r="D29" s="24">
        <v>1758</v>
      </c>
      <c r="E29" s="30">
        <v>0.9745011086474501</v>
      </c>
      <c r="F29" s="24">
        <v>1535</v>
      </c>
      <c r="G29" s="30">
        <v>0.87315130830489196</v>
      </c>
      <c r="H29" s="24">
        <v>223</v>
      </c>
      <c r="I29" s="30">
        <v>0.12684869169510807</v>
      </c>
      <c r="J29" s="24">
        <v>2</v>
      </c>
      <c r="K29" s="30">
        <v>2.4390243902439025E-2</v>
      </c>
      <c r="L29" s="30">
        <v>0.92382620847617103</v>
      </c>
      <c r="N29" s="20" t="s">
        <v>18</v>
      </c>
      <c r="O29" s="24">
        <v>286</v>
      </c>
      <c r="P29" s="24">
        <v>283</v>
      </c>
      <c r="Q29" s="24">
        <v>244</v>
      </c>
      <c r="R29" s="24">
        <v>39</v>
      </c>
      <c r="S29" s="24">
        <v>0</v>
      </c>
    </row>
    <row r="30" spans="2:19" x14ac:dyDescent="0.25">
      <c r="B30" s="20" t="s">
        <v>147</v>
      </c>
      <c r="C30" s="24">
        <v>2793</v>
      </c>
      <c r="D30" s="24">
        <v>2711</v>
      </c>
      <c r="E30" s="30">
        <v>0.97064088793412107</v>
      </c>
      <c r="F30" s="24">
        <v>2403</v>
      </c>
      <c r="G30" s="30">
        <v>0.8863887864256732</v>
      </c>
      <c r="H30" s="24">
        <v>308</v>
      </c>
      <c r="I30" s="30">
        <v>0.11361121357432681</v>
      </c>
      <c r="J30" s="24">
        <v>7</v>
      </c>
      <c r="K30" s="30">
        <v>2.6852846401718582E-2</v>
      </c>
      <c r="L30" s="30">
        <v>0.92851483717989713</v>
      </c>
      <c r="N30" s="20" t="s">
        <v>147</v>
      </c>
      <c r="O30" s="24">
        <v>232</v>
      </c>
      <c r="P30" s="24">
        <v>227</v>
      </c>
      <c r="Q30" s="24">
        <v>184</v>
      </c>
      <c r="R30" s="24">
        <v>43</v>
      </c>
      <c r="S30" s="24">
        <v>2</v>
      </c>
    </row>
    <row r="31" spans="2:19" x14ac:dyDescent="0.25">
      <c r="B31" s="20" t="s">
        <v>19</v>
      </c>
      <c r="C31" s="24">
        <v>1622</v>
      </c>
      <c r="D31" s="24">
        <v>1526</v>
      </c>
      <c r="E31" s="30">
        <v>0.94081381011097409</v>
      </c>
      <c r="F31" s="24">
        <v>1126</v>
      </c>
      <c r="G31" s="30">
        <v>0.73787680209698558</v>
      </c>
      <c r="H31" s="24">
        <v>400</v>
      </c>
      <c r="I31" s="30">
        <v>0.26212319790301442</v>
      </c>
      <c r="J31" s="24">
        <v>8</v>
      </c>
      <c r="K31" s="30">
        <v>5.4254007398273733E-2</v>
      </c>
      <c r="L31" s="30">
        <v>0.83934530610397984</v>
      </c>
      <c r="N31" s="20" t="s">
        <v>19</v>
      </c>
      <c r="O31" s="24">
        <v>395</v>
      </c>
      <c r="P31" s="24">
        <v>378</v>
      </c>
      <c r="Q31" s="24">
        <v>250</v>
      </c>
      <c r="R31" s="24">
        <v>128</v>
      </c>
      <c r="S31" s="24">
        <v>3</v>
      </c>
    </row>
    <row r="32" spans="2:19" x14ac:dyDescent="0.25">
      <c r="B32" s="20" t="s">
        <v>26</v>
      </c>
      <c r="C32" s="24">
        <v>1915</v>
      </c>
      <c r="D32" s="24">
        <v>1803</v>
      </c>
      <c r="E32" s="30">
        <v>0.94151436031331592</v>
      </c>
      <c r="F32" s="24">
        <v>1536</v>
      </c>
      <c r="G32" s="30">
        <v>0.85191347753743762</v>
      </c>
      <c r="H32" s="24">
        <v>267</v>
      </c>
      <c r="I32" s="30">
        <v>0.1480865224625624</v>
      </c>
      <c r="J32" s="24">
        <v>6</v>
      </c>
      <c r="K32" s="30">
        <v>5.535248041775457E-2</v>
      </c>
      <c r="L32" s="30">
        <v>0.89671391892537677</v>
      </c>
      <c r="N32" s="20" t="s">
        <v>26</v>
      </c>
      <c r="O32" s="24">
        <v>275</v>
      </c>
      <c r="P32" s="24">
        <v>272</v>
      </c>
      <c r="Q32" s="24">
        <v>221</v>
      </c>
      <c r="R32" s="24">
        <v>51</v>
      </c>
      <c r="S32" s="24">
        <v>2</v>
      </c>
    </row>
    <row r="33" spans="2:19" x14ac:dyDescent="0.25">
      <c r="B33" s="20" t="s">
        <v>191</v>
      </c>
      <c r="C33" s="24">
        <v>2690</v>
      </c>
      <c r="D33" s="24">
        <v>2576</v>
      </c>
      <c r="E33" s="30">
        <v>0.95762081784386621</v>
      </c>
      <c r="F33" s="24">
        <v>1959</v>
      </c>
      <c r="G33" s="30">
        <v>0.76048136645962738</v>
      </c>
      <c r="H33" s="24">
        <v>617</v>
      </c>
      <c r="I33" s="30">
        <v>0.23951863354037267</v>
      </c>
      <c r="J33" s="24">
        <v>16</v>
      </c>
      <c r="K33" s="30">
        <v>3.6431226765799254E-2</v>
      </c>
      <c r="L33" s="30">
        <v>0.8590510921517468</v>
      </c>
      <c r="N33" s="20" t="s">
        <v>191</v>
      </c>
      <c r="O33" s="24">
        <v>673</v>
      </c>
      <c r="P33" s="24">
        <v>654</v>
      </c>
      <c r="Q33" s="24">
        <v>467</v>
      </c>
      <c r="R33" s="24">
        <v>187</v>
      </c>
      <c r="S33" s="24">
        <v>4</v>
      </c>
    </row>
    <row r="34" spans="2:19" x14ac:dyDescent="0.25">
      <c r="B34" s="20" t="s">
        <v>153</v>
      </c>
      <c r="C34" s="24">
        <v>1089</v>
      </c>
      <c r="D34" s="24">
        <v>1019</v>
      </c>
      <c r="E34" s="30">
        <v>0.93572084481175388</v>
      </c>
      <c r="F34" s="24">
        <v>787</v>
      </c>
      <c r="G34" s="30">
        <v>0.77232580961727182</v>
      </c>
      <c r="H34" s="24">
        <v>232</v>
      </c>
      <c r="I34" s="30">
        <v>0.22767419038272815</v>
      </c>
      <c r="J34" s="24">
        <v>16</v>
      </c>
      <c r="K34" s="30">
        <v>4.9586776859504134E-2</v>
      </c>
      <c r="L34" s="30">
        <v>0.8540233272145128</v>
      </c>
      <c r="N34" s="20" t="s">
        <v>153</v>
      </c>
      <c r="O34" s="24">
        <v>227</v>
      </c>
      <c r="P34" s="24">
        <v>214</v>
      </c>
      <c r="Q34" s="24">
        <v>143</v>
      </c>
      <c r="R34" s="24">
        <v>71</v>
      </c>
      <c r="S34" s="24">
        <v>4</v>
      </c>
    </row>
    <row r="35" spans="2:19" x14ac:dyDescent="0.25">
      <c r="B35" s="20" t="s">
        <v>98</v>
      </c>
      <c r="C35" s="24">
        <v>8914</v>
      </c>
      <c r="D35" s="24">
        <v>8084</v>
      </c>
      <c r="E35" s="30">
        <v>0.90688804128337441</v>
      </c>
      <c r="F35" s="24">
        <v>6827</v>
      </c>
      <c r="G35" s="30">
        <v>0.84450766947055911</v>
      </c>
      <c r="H35" s="24">
        <v>1257</v>
      </c>
      <c r="I35" s="30">
        <v>0.15549233052944086</v>
      </c>
      <c r="J35" s="24">
        <v>11</v>
      </c>
      <c r="K35" s="30">
        <v>9.1877944805923262E-2</v>
      </c>
      <c r="L35" s="30">
        <v>0.87569785537696676</v>
      </c>
      <c r="N35" s="20" t="s">
        <v>98</v>
      </c>
      <c r="O35" s="24">
        <v>1448</v>
      </c>
      <c r="P35" s="24">
        <v>1295</v>
      </c>
      <c r="Q35" s="24">
        <v>1067</v>
      </c>
      <c r="R35" s="24">
        <v>228</v>
      </c>
      <c r="S35" s="24">
        <v>5</v>
      </c>
    </row>
    <row r="36" spans="2:19" x14ac:dyDescent="0.25">
      <c r="B36" s="20" t="s">
        <v>20</v>
      </c>
      <c r="C36" s="24">
        <v>3425</v>
      </c>
      <c r="D36" s="24">
        <v>3315</v>
      </c>
      <c r="E36" s="30">
        <v>0.96788321167883207</v>
      </c>
      <c r="F36" s="24">
        <v>2696</v>
      </c>
      <c r="G36" s="30">
        <v>0.81327300150829562</v>
      </c>
      <c r="H36" s="24">
        <v>619</v>
      </c>
      <c r="I36" s="30">
        <v>0.18672699849170438</v>
      </c>
      <c r="J36" s="24">
        <v>11</v>
      </c>
      <c r="K36" s="30">
        <v>2.8905109489051097E-2</v>
      </c>
      <c r="L36" s="30">
        <v>0.89057810659356385</v>
      </c>
      <c r="N36" s="20" t="s">
        <v>20</v>
      </c>
      <c r="O36" s="24">
        <v>727</v>
      </c>
      <c r="P36" s="24">
        <v>704</v>
      </c>
      <c r="Q36" s="24">
        <v>473</v>
      </c>
      <c r="R36" s="24">
        <v>231</v>
      </c>
      <c r="S36" s="24">
        <v>4</v>
      </c>
    </row>
    <row r="37" spans="2:19" x14ac:dyDescent="0.25">
      <c r="B37" s="20" t="s">
        <v>30</v>
      </c>
      <c r="C37" s="24">
        <v>1097</v>
      </c>
      <c r="D37" s="24">
        <v>1067</v>
      </c>
      <c r="E37" s="30">
        <v>0.97265268915223335</v>
      </c>
      <c r="F37" s="24">
        <v>867</v>
      </c>
      <c r="G37" s="30">
        <v>0.8125585754451734</v>
      </c>
      <c r="H37" s="24">
        <v>200</v>
      </c>
      <c r="I37" s="30">
        <v>0.18744142455482662</v>
      </c>
      <c r="J37" s="24">
        <v>0</v>
      </c>
      <c r="K37" s="30">
        <v>2.7347310847766638E-2</v>
      </c>
      <c r="L37" s="30">
        <v>0.89260563229870338</v>
      </c>
      <c r="N37" s="20" t="s">
        <v>30</v>
      </c>
      <c r="O37" s="24">
        <v>151</v>
      </c>
      <c r="P37" s="24">
        <v>148</v>
      </c>
      <c r="Q37" s="24">
        <v>118</v>
      </c>
      <c r="R37" s="24">
        <v>30</v>
      </c>
      <c r="S37" s="24">
        <v>0</v>
      </c>
    </row>
    <row r="38" spans="2:19" x14ac:dyDescent="0.25">
      <c r="B38" s="20" t="s">
        <v>69</v>
      </c>
      <c r="C38" s="24">
        <v>1454</v>
      </c>
      <c r="D38" s="24">
        <v>1377</v>
      </c>
      <c r="E38" s="30">
        <v>0.94704264099037139</v>
      </c>
      <c r="F38" s="24">
        <v>1114</v>
      </c>
      <c r="G38" s="30">
        <v>0.80900508351488742</v>
      </c>
      <c r="H38" s="24">
        <v>263</v>
      </c>
      <c r="I38" s="30">
        <v>0.19099491648511258</v>
      </c>
      <c r="J38" s="24">
        <v>2</v>
      </c>
      <c r="K38" s="30">
        <v>5.15818431911967E-2</v>
      </c>
      <c r="L38" s="30">
        <v>0.87802386225262941</v>
      </c>
      <c r="N38" s="20" t="s">
        <v>69</v>
      </c>
      <c r="O38" s="24">
        <v>210</v>
      </c>
      <c r="P38" s="24">
        <v>201</v>
      </c>
      <c r="Q38" s="24">
        <v>154</v>
      </c>
      <c r="R38" s="24">
        <v>47</v>
      </c>
      <c r="S38" s="24">
        <v>0</v>
      </c>
    </row>
    <row r="39" spans="2:19" x14ac:dyDescent="0.25">
      <c r="B39" s="20" t="s">
        <v>131</v>
      </c>
      <c r="C39" s="24">
        <v>1363</v>
      </c>
      <c r="D39" s="24">
        <v>1323</v>
      </c>
      <c r="E39" s="30">
        <v>0.97065297138664708</v>
      </c>
      <c r="F39" s="24">
        <v>1117</v>
      </c>
      <c r="G39" s="30">
        <v>0.84429327286470146</v>
      </c>
      <c r="H39" s="24">
        <v>206</v>
      </c>
      <c r="I39" s="30">
        <v>0.15570672713529857</v>
      </c>
      <c r="J39" s="24">
        <v>2</v>
      </c>
      <c r="K39" s="30">
        <v>2.7879677182685254E-2</v>
      </c>
      <c r="L39" s="30">
        <v>0.90747312212567421</v>
      </c>
      <c r="N39" s="20" t="s">
        <v>131</v>
      </c>
      <c r="O39" s="24">
        <v>165</v>
      </c>
      <c r="P39" s="24">
        <v>160</v>
      </c>
      <c r="Q39" s="24">
        <v>138</v>
      </c>
      <c r="R39" s="24">
        <v>22</v>
      </c>
      <c r="S39" s="24">
        <v>1</v>
      </c>
    </row>
    <row r="40" spans="2:19" x14ac:dyDescent="0.25">
      <c r="B40" s="20" t="s">
        <v>21</v>
      </c>
      <c r="C40" s="24">
        <v>2045</v>
      </c>
      <c r="D40" s="24">
        <v>2007</v>
      </c>
      <c r="E40" s="30">
        <v>0.98141809290953541</v>
      </c>
      <c r="F40" s="24">
        <v>1792</v>
      </c>
      <c r="G40" s="30">
        <v>0.89287493771798709</v>
      </c>
      <c r="H40" s="24">
        <v>215</v>
      </c>
      <c r="I40" s="30">
        <v>0.10712506228201295</v>
      </c>
      <c r="J40" s="24">
        <v>5</v>
      </c>
      <c r="K40" s="30">
        <v>1.6136919315403422E-2</v>
      </c>
      <c r="L40" s="30">
        <v>0.93714651531376125</v>
      </c>
      <c r="N40" s="20" t="s">
        <v>21</v>
      </c>
      <c r="O40" s="24">
        <v>266</v>
      </c>
      <c r="P40" s="24">
        <v>263</v>
      </c>
      <c r="Q40" s="24">
        <v>226</v>
      </c>
      <c r="R40" s="24">
        <v>37</v>
      </c>
      <c r="S40" s="24">
        <v>1</v>
      </c>
    </row>
    <row r="41" spans="2:19" x14ac:dyDescent="0.25">
      <c r="B41" s="20" t="s">
        <v>51</v>
      </c>
      <c r="C41" s="24">
        <v>2602</v>
      </c>
      <c r="D41" s="24">
        <v>2403</v>
      </c>
      <c r="E41" s="30">
        <v>0.92352036894696388</v>
      </c>
      <c r="F41" s="24">
        <v>2162</v>
      </c>
      <c r="G41" s="30">
        <v>0.8997086974615065</v>
      </c>
      <c r="H41" s="24">
        <v>241</v>
      </c>
      <c r="I41" s="30">
        <v>0.10029130253849355</v>
      </c>
      <c r="J41" s="24">
        <v>65</v>
      </c>
      <c r="K41" s="30">
        <v>5.1498847040737893E-2</v>
      </c>
      <c r="L41" s="30">
        <v>0.91161453320423513</v>
      </c>
      <c r="N41" s="20" t="s">
        <v>51</v>
      </c>
      <c r="O41" s="24">
        <v>156</v>
      </c>
      <c r="P41" s="24">
        <v>142</v>
      </c>
      <c r="Q41" s="24">
        <v>123</v>
      </c>
      <c r="R41" s="24">
        <v>19</v>
      </c>
      <c r="S41" s="24">
        <v>11</v>
      </c>
    </row>
    <row r="42" spans="2:19" x14ac:dyDescent="0.25">
      <c r="B42" s="20" t="s">
        <v>103</v>
      </c>
      <c r="C42" s="24">
        <v>2886</v>
      </c>
      <c r="D42" s="24">
        <v>2694</v>
      </c>
      <c r="E42" s="30">
        <v>0.93347193347193347</v>
      </c>
      <c r="F42" s="24">
        <v>2433</v>
      </c>
      <c r="G42" s="30">
        <v>0.9031180400890868</v>
      </c>
      <c r="H42" s="24">
        <v>261</v>
      </c>
      <c r="I42" s="30">
        <v>9.688195991091314E-2</v>
      </c>
      <c r="J42" s="24">
        <v>33</v>
      </c>
      <c r="K42" s="30">
        <v>5.5093555093555097E-2</v>
      </c>
      <c r="L42" s="30">
        <v>0.91829498678051014</v>
      </c>
      <c r="N42" s="20" t="s">
        <v>103</v>
      </c>
      <c r="O42" s="24">
        <v>490</v>
      </c>
      <c r="P42" s="24">
        <v>472</v>
      </c>
      <c r="Q42" s="24">
        <v>425</v>
      </c>
      <c r="R42" s="24">
        <v>47</v>
      </c>
      <c r="S42" s="24">
        <v>6</v>
      </c>
    </row>
    <row r="43" spans="2:19" x14ac:dyDescent="0.25">
      <c r="B43" s="20" t="s">
        <v>129</v>
      </c>
      <c r="C43" s="24">
        <v>1433</v>
      </c>
      <c r="D43" s="24">
        <v>1395</v>
      </c>
      <c r="E43" s="30">
        <v>0.97348220516399164</v>
      </c>
      <c r="F43" s="24">
        <v>1126</v>
      </c>
      <c r="G43" s="30">
        <v>0.80716845878136201</v>
      </c>
      <c r="H43" s="24">
        <v>269</v>
      </c>
      <c r="I43" s="30">
        <v>0.19283154121863799</v>
      </c>
      <c r="J43" s="24">
        <v>1</v>
      </c>
      <c r="K43" s="30">
        <v>2.5819958129797628E-2</v>
      </c>
      <c r="L43" s="30">
        <v>0.89032533197267683</v>
      </c>
      <c r="N43" s="20" t="s">
        <v>129</v>
      </c>
      <c r="O43" s="24">
        <v>162</v>
      </c>
      <c r="P43" s="24">
        <v>160</v>
      </c>
      <c r="Q43" s="24">
        <v>131</v>
      </c>
      <c r="R43" s="24">
        <v>29</v>
      </c>
      <c r="S43" s="24">
        <v>0</v>
      </c>
    </row>
    <row r="44" spans="2:19" x14ac:dyDescent="0.25">
      <c r="B44" s="20" t="s">
        <v>100</v>
      </c>
      <c r="C44" s="24">
        <v>1400</v>
      </c>
      <c r="D44" s="24">
        <v>1361</v>
      </c>
      <c r="E44" s="30">
        <v>0.9721428571428572</v>
      </c>
      <c r="F44" s="24">
        <v>1192</v>
      </c>
      <c r="G44" s="30">
        <v>0.87582659808963992</v>
      </c>
      <c r="H44" s="24">
        <v>169</v>
      </c>
      <c r="I44" s="30">
        <v>0.12417340191036003</v>
      </c>
      <c r="J44" s="24">
        <v>7</v>
      </c>
      <c r="K44" s="30">
        <v>2.2857142857142857E-2</v>
      </c>
      <c r="L44" s="30">
        <v>0.9239847276162485</v>
      </c>
      <c r="N44" s="20" t="s">
        <v>100</v>
      </c>
      <c r="O44" s="24">
        <v>255</v>
      </c>
      <c r="P44" s="24">
        <v>253</v>
      </c>
      <c r="Q44" s="24">
        <v>204</v>
      </c>
      <c r="R44" s="24">
        <v>49</v>
      </c>
      <c r="S44" s="24">
        <v>1</v>
      </c>
    </row>
    <row r="45" spans="2:19" x14ac:dyDescent="0.25">
      <c r="B45" s="20" t="s">
        <v>61</v>
      </c>
      <c r="C45" s="24">
        <v>3486</v>
      </c>
      <c r="D45" s="24">
        <v>3436</v>
      </c>
      <c r="E45" s="30">
        <v>0.98565691336775674</v>
      </c>
      <c r="F45" s="24">
        <v>3047</v>
      </c>
      <c r="G45" s="30">
        <v>0.88678696158323633</v>
      </c>
      <c r="H45" s="24">
        <v>389</v>
      </c>
      <c r="I45" s="30">
        <v>0.11321303841676368</v>
      </c>
      <c r="J45" s="24">
        <v>10</v>
      </c>
      <c r="K45" s="30">
        <v>1.1474469305794608E-2</v>
      </c>
      <c r="L45" s="30">
        <v>0.93622193747549654</v>
      </c>
      <c r="N45" s="20" t="s">
        <v>61</v>
      </c>
      <c r="O45" s="24">
        <v>768</v>
      </c>
      <c r="P45" s="24">
        <v>750</v>
      </c>
      <c r="Q45" s="24">
        <v>653</v>
      </c>
      <c r="R45" s="24">
        <v>97</v>
      </c>
      <c r="S45" s="24">
        <v>3</v>
      </c>
    </row>
    <row r="46" spans="2:19" x14ac:dyDescent="0.25">
      <c r="B46" s="20" t="s">
        <v>207</v>
      </c>
      <c r="C46" s="24">
        <v>61765</v>
      </c>
      <c r="D46" s="24">
        <v>57885</v>
      </c>
      <c r="E46" s="30">
        <v>0.93718125151784992</v>
      </c>
      <c r="F46" s="24">
        <v>47683</v>
      </c>
      <c r="G46" s="30">
        <v>0.82375399499006652</v>
      </c>
      <c r="H46" s="24">
        <v>10202</v>
      </c>
      <c r="I46" s="30">
        <v>0.17624600500993348</v>
      </c>
      <c r="J46" s="24">
        <v>254</v>
      </c>
      <c r="K46" s="30">
        <v>5.8706387112442325E-2</v>
      </c>
      <c r="L46" s="30">
        <v>0.88046762325395822</v>
      </c>
      <c r="N46" s="20" t="s">
        <v>242</v>
      </c>
      <c r="O46" s="24">
        <v>10076</v>
      </c>
      <c r="P46" s="24">
        <v>9482</v>
      </c>
      <c r="Q46" s="24">
        <v>7174</v>
      </c>
      <c r="R46" s="24">
        <v>2308</v>
      </c>
      <c r="S46" s="24">
        <v>65</v>
      </c>
    </row>
  </sheetData>
  <mergeCells count="5">
    <mergeCell ref="D2:N7"/>
    <mergeCell ref="E9:G11"/>
    <mergeCell ref="E13:G17"/>
    <mergeCell ref="Q9:S11"/>
    <mergeCell ref="Q13:S17"/>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4"/>
  <sheetViews>
    <sheetView zoomScale="80" zoomScaleNormal="80" workbookViewId="0">
      <selection activeCell="B1" sqref="B1:O6"/>
    </sheetView>
  </sheetViews>
  <sheetFormatPr defaultRowHeight="15" x14ac:dyDescent="0.25"/>
  <cols>
    <col min="2" max="2" width="34.140625" customWidth="1"/>
    <col min="3" max="3" width="12.42578125" style="23" customWidth="1"/>
    <col min="4" max="5" width="13.28515625" style="23" customWidth="1"/>
    <col min="6" max="6" width="13.28515625" style="25" customWidth="1"/>
    <col min="7" max="7" width="13.28515625" style="23" customWidth="1"/>
    <col min="8" max="8" width="13.28515625" style="25" customWidth="1"/>
    <col min="9" max="9" width="13.28515625" style="23" customWidth="1"/>
    <col min="10" max="10" width="13.28515625" style="25" customWidth="1"/>
    <col min="11" max="11" width="13.28515625" style="23" customWidth="1"/>
    <col min="12" max="12" width="13.28515625" style="25" customWidth="1"/>
    <col min="13" max="13" width="13.28515625" style="23" customWidth="1"/>
    <col min="14" max="15" width="13.28515625" style="25" customWidth="1"/>
  </cols>
  <sheetData>
    <row r="1" spans="2:15" ht="15" customHeight="1" x14ac:dyDescent="0.25">
      <c r="B1" s="66" t="s">
        <v>248</v>
      </c>
      <c r="C1" s="66"/>
      <c r="D1" s="66"/>
      <c r="E1" s="66"/>
      <c r="F1" s="66"/>
      <c r="G1" s="66"/>
      <c r="H1" s="66"/>
      <c r="I1" s="66"/>
      <c r="J1" s="66"/>
      <c r="K1" s="66"/>
      <c r="L1" s="66"/>
      <c r="M1" s="66"/>
      <c r="N1" s="66"/>
      <c r="O1" s="66"/>
    </row>
    <row r="2" spans="2:15" x14ac:dyDescent="0.25">
      <c r="B2" s="66"/>
      <c r="C2" s="66"/>
      <c r="D2" s="66"/>
      <c r="E2" s="66"/>
      <c r="F2" s="66"/>
      <c r="G2" s="66"/>
      <c r="H2" s="66"/>
      <c r="I2" s="66"/>
      <c r="J2" s="66"/>
      <c r="K2" s="66"/>
      <c r="L2" s="66"/>
      <c r="M2" s="66"/>
      <c r="N2" s="66"/>
      <c r="O2" s="66"/>
    </row>
    <row r="3" spans="2:15" x14ac:dyDescent="0.25">
      <c r="B3" s="66"/>
      <c r="C3" s="66"/>
      <c r="D3" s="66"/>
      <c r="E3" s="66"/>
      <c r="F3" s="66"/>
      <c r="G3" s="66"/>
      <c r="H3" s="66"/>
      <c r="I3" s="66"/>
      <c r="J3" s="66"/>
      <c r="K3" s="66"/>
      <c r="L3" s="66"/>
      <c r="M3" s="66"/>
      <c r="N3" s="66"/>
      <c r="O3" s="66"/>
    </row>
    <row r="4" spans="2:15" x14ac:dyDescent="0.25">
      <c r="B4" s="66"/>
      <c r="C4" s="66"/>
      <c r="D4" s="66"/>
      <c r="E4" s="66"/>
      <c r="F4" s="66"/>
      <c r="G4" s="66"/>
      <c r="H4" s="66"/>
      <c r="I4" s="66"/>
      <c r="J4" s="66"/>
      <c r="K4" s="66"/>
      <c r="L4" s="66"/>
      <c r="M4" s="66"/>
      <c r="N4" s="66"/>
      <c r="O4" s="66"/>
    </row>
    <row r="5" spans="2:15" x14ac:dyDescent="0.25">
      <c r="B5" s="66"/>
      <c r="C5" s="66"/>
      <c r="D5" s="66"/>
      <c r="E5" s="66"/>
      <c r="F5" s="66"/>
      <c r="G5" s="66"/>
      <c r="H5" s="66"/>
      <c r="I5" s="66"/>
      <c r="J5" s="66"/>
      <c r="K5" s="66"/>
      <c r="L5" s="66"/>
      <c r="M5" s="66"/>
      <c r="N5" s="66"/>
      <c r="O5" s="66"/>
    </row>
    <row r="6" spans="2:15" x14ac:dyDescent="0.25">
      <c r="B6" s="66"/>
      <c r="C6" s="66"/>
      <c r="D6" s="66"/>
      <c r="E6" s="66"/>
      <c r="F6" s="66"/>
      <c r="G6" s="66"/>
      <c r="H6" s="66"/>
      <c r="I6" s="66"/>
      <c r="J6" s="66"/>
      <c r="K6" s="66"/>
      <c r="L6" s="66"/>
      <c r="M6" s="66"/>
      <c r="N6" s="66"/>
      <c r="O6" s="66"/>
    </row>
    <row r="7" spans="2:15" x14ac:dyDescent="0.25">
      <c r="C7" s="6"/>
      <c r="D7" s="6"/>
      <c r="E7" s="6"/>
      <c r="F7" s="7"/>
      <c r="G7" s="6"/>
      <c r="H7" s="7"/>
      <c r="I7" s="6"/>
      <c r="J7" s="7"/>
      <c r="K7" s="6"/>
      <c r="L7" s="7"/>
      <c r="M7" s="6"/>
      <c r="N7" s="7"/>
      <c r="O7" s="7"/>
    </row>
    <row r="8" spans="2:15" ht="90" customHeight="1" x14ac:dyDescent="0.25">
      <c r="B8" s="8" t="s">
        <v>193</v>
      </c>
      <c r="C8" s="8" t="s">
        <v>194</v>
      </c>
      <c r="D8" s="8" t="s">
        <v>195</v>
      </c>
      <c r="E8" s="8" t="s">
        <v>196</v>
      </c>
      <c r="F8" s="9" t="s">
        <v>197</v>
      </c>
      <c r="G8" s="8" t="s">
        <v>198</v>
      </c>
      <c r="H8" s="9" t="s">
        <v>199</v>
      </c>
      <c r="I8" s="8" t="s">
        <v>200</v>
      </c>
      <c r="J8" s="9" t="s">
        <v>201</v>
      </c>
      <c r="K8" s="8" t="s">
        <v>202</v>
      </c>
      <c r="L8" s="9" t="s">
        <v>203</v>
      </c>
      <c r="M8" s="8" t="s">
        <v>204</v>
      </c>
      <c r="N8" s="9" t="s">
        <v>205</v>
      </c>
      <c r="O8" s="9" t="s">
        <v>206</v>
      </c>
    </row>
    <row r="9" spans="2:15" x14ac:dyDescent="0.25">
      <c r="B9" s="10" t="s">
        <v>207</v>
      </c>
      <c r="C9" s="11">
        <f>+SUM(C25:C74,C79:C164)</f>
        <v>77603</v>
      </c>
      <c r="D9" s="11">
        <f t="shared" ref="D9:M9" si="0">+SUM(D25:D74,D79:D164)</f>
        <v>69774</v>
      </c>
      <c r="E9" s="11">
        <f t="shared" si="0"/>
        <v>66718</v>
      </c>
      <c r="F9" s="32">
        <f>+E9/D9</f>
        <v>0.956201450396996</v>
      </c>
      <c r="G9" s="11">
        <f t="shared" si="0"/>
        <v>57469</v>
      </c>
      <c r="H9" s="32">
        <f>+G9/E9</f>
        <v>0.86137174375730685</v>
      </c>
      <c r="I9" s="11">
        <f t="shared" si="0"/>
        <v>9249</v>
      </c>
      <c r="J9" s="12">
        <f>+I9/E9</f>
        <v>0.13862825624269312</v>
      </c>
      <c r="K9" s="11">
        <f t="shared" si="0"/>
        <v>284</v>
      </c>
      <c r="L9" s="12">
        <f>+(D9-E9-K9)/D9</f>
        <v>3.9728265543038953E-2</v>
      </c>
      <c r="M9" s="11">
        <f t="shared" si="0"/>
        <v>7829</v>
      </c>
      <c r="N9" s="12">
        <f>+M9/D9</f>
        <v>0.11220511938544443</v>
      </c>
      <c r="O9" s="32">
        <f>+(F9+H9)/2</f>
        <v>0.90878659707715137</v>
      </c>
    </row>
    <row r="23" spans="2:15" ht="60" x14ac:dyDescent="0.25">
      <c r="B23" s="8" t="s">
        <v>247</v>
      </c>
      <c r="C23" s="8" t="s">
        <v>194</v>
      </c>
      <c r="D23" s="8" t="s">
        <v>195</v>
      </c>
      <c r="E23" s="8" t="s">
        <v>196</v>
      </c>
      <c r="F23" s="9" t="s">
        <v>197</v>
      </c>
      <c r="G23" s="8" t="s">
        <v>198</v>
      </c>
      <c r="H23" s="9" t="s">
        <v>199</v>
      </c>
      <c r="I23" s="8" t="s">
        <v>200</v>
      </c>
      <c r="J23" s="9" t="s">
        <v>201</v>
      </c>
      <c r="K23" s="8" t="s">
        <v>202</v>
      </c>
      <c r="L23" s="9" t="s">
        <v>203</v>
      </c>
      <c r="M23" s="8" t="s">
        <v>204</v>
      </c>
      <c r="N23" s="9" t="s">
        <v>205</v>
      </c>
      <c r="O23" s="9" t="s">
        <v>206</v>
      </c>
    </row>
    <row r="24" spans="2:15" ht="14.25" customHeight="1" x14ac:dyDescent="0.25">
      <c r="B24" s="8"/>
      <c r="C24" s="8" t="s">
        <v>209</v>
      </c>
      <c r="D24" s="8">
        <v>2</v>
      </c>
      <c r="E24" s="8">
        <v>3</v>
      </c>
      <c r="F24" s="9" t="s">
        <v>210</v>
      </c>
      <c r="G24" s="33" t="s">
        <v>211</v>
      </c>
      <c r="H24" s="9" t="s">
        <v>212</v>
      </c>
      <c r="I24" s="33" t="s">
        <v>213</v>
      </c>
      <c r="J24" s="9" t="s">
        <v>214</v>
      </c>
      <c r="K24" s="33" t="s">
        <v>215</v>
      </c>
      <c r="L24" s="9" t="s">
        <v>216</v>
      </c>
      <c r="M24" s="33" t="s">
        <v>217</v>
      </c>
      <c r="N24" s="9" t="s">
        <v>218</v>
      </c>
      <c r="O24" s="9" t="s">
        <v>245</v>
      </c>
    </row>
    <row r="25" spans="2:15" x14ac:dyDescent="0.25">
      <c r="B25" s="31" t="s">
        <v>159</v>
      </c>
      <c r="C25" s="34">
        <f t="shared" ref="C25:C56" si="1">+D25+M25</f>
        <v>1093</v>
      </c>
      <c r="D25" s="34">
        <v>1046</v>
      </c>
      <c r="E25" s="34">
        <v>1035</v>
      </c>
      <c r="F25" s="35">
        <f t="shared" ref="F25:F56" si="2">+E25/D25</f>
        <v>0.98948374760994262</v>
      </c>
      <c r="G25" s="34">
        <v>981</v>
      </c>
      <c r="H25" s="35">
        <f t="shared" ref="H25:H56" si="3">+G25/E25</f>
        <v>0.94782608695652171</v>
      </c>
      <c r="I25" s="34">
        <v>54</v>
      </c>
      <c r="J25" s="35">
        <f t="shared" ref="J25:J56" si="4">+I25/E25</f>
        <v>5.2173913043478258E-2</v>
      </c>
      <c r="K25" s="34">
        <v>0</v>
      </c>
      <c r="L25" s="35">
        <f t="shared" ref="L25:L56" si="5">+(D25-E25-K25)/D25</f>
        <v>1.0516252390057362E-2</v>
      </c>
      <c r="M25" s="34">
        <v>47</v>
      </c>
      <c r="N25" s="35">
        <f t="shared" ref="N25:N56" si="6">+M25/D25</f>
        <v>4.4933078393881457E-2</v>
      </c>
      <c r="O25" s="36">
        <f t="shared" ref="O25:O56" si="7">+(F25+H25)/2</f>
        <v>0.96865491728323216</v>
      </c>
    </row>
    <row r="26" spans="2:15" x14ac:dyDescent="0.25">
      <c r="B26" s="31" t="s">
        <v>85</v>
      </c>
      <c r="C26" s="34">
        <f t="shared" si="1"/>
        <v>1062</v>
      </c>
      <c r="D26" s="34">
        <v>1032</v>
      </c>
      <c r="E26" s="34">
        <v>1019</v>
      </c>
      <c r="F26" s="35">
        <f t="shared" si="2"/>
        <v>0.98740310077519378</v>
      </c>
      <c r="G26" s="34">
        <v>966</v>
      </c>
      <c r="H26" s="35">
        <f t="shared" si="3"/>
        <v>0.94798822374877334</v>
      </c>
      <c r="I26" s="34">
        <v>53</v>
      </c>
      <c r="J26" s="35">
        <f t="shared" si="4"/>
        <v>5.2011776251226695E-2</v>
      </c>
      <c r="K26" s="34">
        <v>2</v>
      </c>
      <c r="L26" s="35">
        <f t="shared" si="5"/>
        <v>1.065891472868217E-2</v>
      </c>
      <c r="M26" s="34">
        <v>30</v>
      </c>
      <c r="N26" s="35">
        <f t="shared" si="6"/>
        <v>2.9069767441860465E-2</v>
      </c>
      <c r="O26" s="36">
        <f t="shared" si="7"/>
        <v>0.96769566226198356</v>
      </c>
    </row>
    <row r="27" spans="2:15" x14ac:dyDescent="0.25">
      <c r="B27" s="31" t="s">
        <v>146</v>
      </c>
      <c r="C27" s="34">
        <f t="shared" si="1"/>
        <v>774</v>
      </c>
      <c r="D27" s="34">
        <v>723</v>
      </c>
      <c r="E27" s="34">
        <v>698</v>
      </c>
      <c r="F27" s="35">
        <f t="shared" si="2"/>
        <v>0.96542185338865838</v>
      </c>
      <c r="G27" s="34">
        <v>671</v>
      </c>
      <c r="H27" s="35">
        <f t="shared" si="3"/>
        <v>0.9613180515759312</v>
      </c>
      <c r="I27" s="34">
        <v>27</v>
      </c>
      <c r="J27" s="35">
        <f t="shared" si="4"/>
        <v>3.8681948424068767E-2</v>
      </c>
      <c r="K27" s="34">
        <v>0</v>
      </c>
      <c r="L27" s="35">
        <f t="shared" si="5"/>
        <v>3.4578146611341634E-2</v>
      </c>
      <c r="M27" s="34">
        <v>51</v>
      </c>
      <c r="N27" s="35">
        <f t="shared" si="6"/>
        <v>7.0539419087136929E-2</v>
      </c>
      <c r="O27" s="36">
        <f t="shared" si="7"/>
        <v>0.96336995248229473</v>
      </c>
    </row>
    <row r="28" spans="2:15" x14ac:dyDescent="0.25">
      <c r="B28" s="31" t="s">
        <v>49</v>
      </c>
      <c r="C28" s="34">
        <f t="shared" si="1"/>
        <v>1003</v>
      </c>
      <c r="D28" s="34">
        <v>936</v>
      </c>
      <c r="E28" s="34">
        <v>919</v>
      </c>
      <c r="F28" s="35">
        <f t="shared" si="2"/>
        <v>0.98183760683760679</v>
      </c>
      <c r="G28" s="34">
        <v>858</v>
      </c>
      <c r="H28" s="35">
        <f t="shared" si="3"/>
        <v>0.93362350380848746</v>
      </c>
      <c r="I28" s="34">
        <v>61</v>
      </c>
      <c r="J28" s="35">
        <f t="shared" si="4"/>
        <v>6.6376496191512507E-2</v>
      </c>
      <c r="K28" s="34">
        <v>0</v>
      </c>
      <c r="L28" s="35">
        <f t="shared" si="5"/>
        <v>1.8162393162393164E-2</v>
      </c>
      <c r="M28" s="34">
        <v>67</v>
      </c>
      <c r="N28" s="35">
        <f t="shared" si="6"/>
        <v>7.1581196581196577E-2</v>
      </c>
      <c r="O28" s="36">
        <f t="shared" si="7"/>
        <v>0.95773055532304707</v>
      </c>
    </row>
    <row r="29" spans="2:15" x14ac:dyDescent="0.25">
      <c r="B29" s="31" t="s">
        <v>55</v>
      </c>
      <c r="C29" s="34">
        <f t="shared" si="1"/>
        <v>806</v>
      </c>
      <c r="D29" s="34">
        <v>724</v>
      </c>
      <c r="E29" s="34">
        <v>718</v>
      </c>
      <c r="F29" s="35">
        <f t="shared" si="2"/>
        <v>0.99171270718232041</v>
      </c>
      <c r="G29" s="34">
        <v>658</v>
      </c>
      <c r="H29" s="35">
        <f t="shared" si="3"/>
        <v>0.91643454038997219</v>
      </c>
      <c r="I29" s="34">
        <v>60</v>
      </c>
      <c r="J29" s="35">
        <f t="shared" si="4"/>
        <v>8.3565459610027856E-2</v>
      </c>
      <c r="K29" s="34">
        <v>0</v>
      </c>
      <c r="L29" s="35">
        <f t="shared" si="5"/>
        <v>8.2872928176795577E-3</v>
      </c>
      <c r="M29" s="34">
        <v>82</v>
      </c>
      <c r="N29" s="35">
        <f t="shared" si="6"/>
        <v>0.1132596685082873</v>
      </c>
      <c r="O29" s="36">
        <f t="shared" si="7"/>
        <v>0.95407362378614624</v>
      </c>
    </row>
    <row r="30" spans="2:15" x14ac:dyDescent="0.25">
      <c r="B30" s="31" t="s">
        <v>76</v>
      </c>
      <c r="C30" s="34">
        <f t="shared" si="1"/>
        <v>750</v>
      </c>
      <c r="D30" s="34">
        <v>681</v>
      </c>
      <c r="E30" s="34">
        <v>656</v>
      </c>
      <c r="F30" s="35">
        <f t="shared" si="2"/>
        <v>0.96328928046989726</v>
      </c>
      <c r="G30" s="34">
        <v>618</v>
      </c>
      <c r="H30" s="35">
        <f t="shared" si="3"/>
        <v>0.94207317073170727</v>
      </c>
      <c r="I30" s="34">
        <v>38</v>
      </c>
      <c r="J30" s="35">
        <f t="shared" si="4"/>
        <v>5.7926829268292686E-2</v>
      </c>
      <c r="K30" s="34">
        <v>1</v>
      </c>
      <c r="L30" s="35">
        <f t="shared" si="5"/>
        <v>3.5242290748898682E-2</v>
      </c>
      <c r="M30" s="34">
        <v>69</v>
      </c>
      <c r="N30" s="35">
        <f t="shared" si="6"/>
        <v>0.1013215859030837</v>
      </c>
      <c r="O30" s="36">
        <f t="shared" si="7"/>
        <v>0.95268122560080226</v>
      </c>
    </row>
    <row r="31" spans="2:15" x14ac:dyDescent="0.25">
      <c r="B31" s="31" t="s">
        <v>70</v>
      </c>
      <c r="C31" s="34">
        <f t="shared" si="1"/>
        <v>683</v>
      </c>
      <c r="D31" s="34">
        <v>638</v>
      </c>
      <c r="E31" s="34">
        <v>626</v>
      </c>
      <c r="F31" s="35">
        <f t="shared" si="2"/>
        <v>0.98119122257053293</v>
      </c>
      <c r="G31" s="34">
        <v>577</v>
      </c>
      <c r="H31" s="35">
        <f t="shared" si="3"/>
        <v>0.92172523961661346</v>
      </c>
      <c r="I31" s="34">
        <v>49</v>
      </c>
      <c r="J31" s="35">
        <f t="shared" si="4"/>
        <v>7.8274760383386585E-2</v>
      </c>
      <c r="K31" s="34">
        <v>1</v>
      </c>
      <c r="L31" s="35">
        <f t="shared" si="5"/>
        <v>1.7241379310344827E-2</v>
      </c>
      <c r="M31" s="34">
        <v>45</v>
      </c>
      <c r="N31" s="35">
        <f t="shared" si="6"/>
        <v>7.0532915360501561E-2</v>
      </c>
      <c r="O31" s="36">
        <f t="shared" si="7"/>
        <v>0.95145823109357319</v>
      </c>
    </row>
    <row r="32" spans="2:15" x14ac:dyDescent="0.25">
      <c r="B32" s="31" t="s">
        <v>39</v>
      </c>
      <c r="C32" s="34">
        <f t="shared" si="1"/>
        <v>983</v>
      </c>
      <c r="D32" s="34">
        <v>934</v>
      </c>
      <c r="E32" s="34">
        <v>907</v>
      </c>
      <c r="F32" s="35">
        <f t="shared" si="2"/>
        <v>0.97109207708779444</v>
      </c>
      <c r="G32" s="34">
        <v>845</v>
      </c>
      <c r="H32" s="35">
        <f t="shared" si="3"/>
        <v>0.93164277839029763</v>
      </c>
      <c r="I32" s="34">
        <v>62</v>
      </c>
      <c r="J32" s="35">
        <f t="shared" si="4"/>
        <v>6.8357221609702312E-2</v>
      </c>
      <c r="K32" s="34">
        <v>13</v>
      </c>
      <c r="L32" s="35">
        <f t="shared" si="5"/>
        <v>1.4989293361884369E-2</v>
      </c>
      <c r="M32" s="34">
        <v>49</v>
      </c>
      <c r="N32" s="35">
        <f t="shared" si="6"/>
        <v>5.246252676659529E-2</v>
      </c>
      <c r="O32" s="36">
        <f t="shared" si="7"/>
        <v>0.95136742773904603</v>
      </c>
    </row>
    <row r="33" spans="2:15" x14ac:dyDescent="0.25">
      <c r="B33" s="31" t="s">
        <v>135</v>
      </c>
      <c r="C33" s="34">
        <f t="shared" si="1"/>
        <v>713</v>
      </c>
      <c r="D33" s="34">
        <v>664</v>
      </c>
      <c r="E33" s="34">
        <v>644</v>
      </c>
      <c r="F33" s="35">
        <f t="shared" si="2"/>
        <v>0.96987951807228912</v>
      </c>
      <c r="G33" s="34">
        <v>600</v>
      </c>
      <c r="H33" s="35">
        <f t="shared" si="3"/>
        <v>0.93167701863354035</v>
      </c>
      <c r="I33" s="34">
        <v>44</v>
      </c>
      <c r="J33" s="35">
        <f t="shared" si="4"/>
        <v>6.8322981366459631E-2</v>
      </c>
      <c r="K33" s="34">
        <v>0</v>
      </c>
      <c r="L33" s="35">
        <f t="shared" si="5"/>
        <v>3.0120481927710843E-2</v>
      </c>
      <c r="M33" s="34">
        <v>49</v>
      </c>
      <c r="N33" s="35">
        <f t="shared" si="6"/>
        <v>7.3795180722891568E-2</v>
      </c>
      <c r="O33" s="36">
        <f t="shared" si="7"/>
        <v>0.95077826835291468</v>
      </c>
    </row>
    <row r="34" spans="2:15" x14ac:dyDescent="0.25">
      <c r="B34" s="31" t="s">
        <v>91</v>
      </c>
      <c r="C34" s="34">
        <f t="shared" si="1"/>
        <v>730</v>
      </c>
      <c r="D34" s="34">
        <v>697</v>
      </c>
      <c r="E34" s="34">
        <v>675</v>
      </c>
      <c r="F34" s="35">
        <f t="shared" si="2"/>
        <v>0.96843615494978474</v>
      </c>
      <c r="G34" s="34">
        <v>624</v>
      </c>
      <c r="H34" s="35">
        <f t="shared" si="3"/>
        <v>0.9244444444444444</v>
      </c>
      <c r="I34" s="34">
        <v>51</v>
      </c>
      <c r="J34" s="35">
        <f t="shared" si="4"/>
        <v>7.5555555555555556E-2</v>
      </c>
      <c r="K34" s="34">
        <v>2</v>
      </c>
      <c r="L34" s="35">
        <f t="shared" si="5"/>
        <v>2.8694404591104734E-2</v>
      </c>
      <c r="M34" s="34">
        <v>33</v>
      </c>
      <c r="N34" s="35">
        <f t="shared" si="6"/>
        <v>4.7345767575322814E-2</v>
      </c>
      <c r="O34" s="36">
        <f t="shared" si="7"/>
        <v>0.94644029969711463</v>
      </c>
    </row>
    <row r="35" spans="2:15" x14ac:dyDescent="0.25">
      <c r="B35" s="31" t="s">
        <v>73</v>
      </c>
      <c r="C35" s="34">
        <f t="shared" si="1"/>
        <v>829</v>
      </c>
      <c r="D35" s="34">
        <v>757</v>
      </c>
      <c r="E35" s="34">
        <v>741</v>
      </c>
      <c r="F35" s="35">
        <f t="shared" si="2"/>
        <v>0.97886393659180981</v>
      </c>
      <c r="G35" s="34">
        <v>677</v>
      </c>
      <c r="H35" s="35">
        <f t="shared" si="3"/>
        <v>0.91363022941970307</v>
      </c>
      <c r="I35" s="34">
        <v>64</v>
      </c>
      <c r="J35" s="35">
        <f t="shared" si="4"/>
        <v>8.6369770580296892E-2</v>
      </c>
      <c r="K35" s="34">
        <v>3</v>
      </c>
      <c r="L35" s="35">
        <f t="shared" si="5"/>
        <v>1.7173051519154558E-2</v>
      </c>
      <c r="M35" s="34">
        <v>72</v>
      </c>
      <c r="N35" s="35">
        <f t="shared" si="6"/>
        <v>9.5112285336856006E-2</v>
      </c>
      <c r="O35" s="36">
        <f t="shared" si="7"/>
        <v>0.94624708300575644</v>
      </c>
    </row>
    <row r="36" spans="2:15" x14ac:dyDescent="0.25">
      <c r="B36" s="31" t="s">
        <v>141</v>
      </c>
      <c r="C36" s="34">
        <f t="shared" si="1"/>
        <v>757</v>
      </c>
      <c r="D36" s="34">
        <v>703</v>
      </c>
      <c r="E36" s="34">
        <v>689</v>
      </c>
      <c r="F36" s="35">
        <f t="shared" si="2"/>
        <v>0.98008534850640117</v>
      </c>
      <c r="G36" s="34">
        <v>627</v>
      </c>
      <c r="H36" s="35">
        <f t="shared" si="3"/>
        <v>0.91001451378809872</v>
      </c>
      <c r="I36" s="34">
        <v>62</v>
      </c>
      <c r="J36" s="35">
        <f t="shared" si="4"/>
        <v>8.9985486211901305E-2</v>
      </c>
      <c r="K36" s="34">
        <v>0</v>
      </c>
      <c r="L36" s="35">
        <f t="shared" si="5"/>
        <v>1.9914651493598862E-2</v>
      </c>
      <c r="M36" s="34">
        <v>54</v>
      </c>
      <c r="N36" s="35">
        <f t="shared" si="6"/>
        <v>7.6813655761024183E-2</v>
      </c>
      <c r="O36" s="36">
        <f t="shared" si="7"/>
        <v>0.94504993114725</v>
      </c>
    </row>
    <row r="37" spans="2:15" x14ac:dyDescent="0.25">
      <c r="B37" s="31" t="s">
        <v>170</v>
      </c>
      <c r="C37" s="34">
        <f t="shared" si="1"/>
        <v>1314</v>
      </c>
      <c r="D37" s="34">
        <v>1146</v>
      </c>
      <c r="E37" s="34">
        <v>1118</v>
      </c>
      <c r="F37" s="35">
        <f t="shared" si="2"/>
        <v>0.9755671902268761</v>
      </c>
      <c r="G37" s="34">
        <v>1021</v>
      </c>
      <c r="H37" s="35">
        <f t="shared" si="3"/>
        <v>0.91323792486583188</v>
      </c>
      <c r="I37" s="34">
        <v>97</v>
      </c>
      <c r="J37" s="35">
        <f t="shared" si="4"/>
        <v>8.6762075134168157E-2</v>
      </c>
      <c r="K37" s="34">
        <v>5</v>
      </c>
      <c r="L37" s="35">
        <f t="shared" si="5"/>
        <v>2.006980802792321E-2</v>
      </c>
      <c r="M37" s="34">
        <v>168</v>
      </c>
      <c r="N37" s="35">
        <f t="shared" si="6"/>
        <v>0.14659685863874344</v>
      </c>
      <c r="O37" s="36">
        <f t="shared" si="7"/>
        <v>0.94440255754635394</v>
      </c>
    </row>
    <row r="38" spans="2:15" x14ac:dyDescent="0.25">
      <c r="B38" s="31" t="s">
        <v>33</v>
      </c>
      <c r="C38" s="34">
        <f t="shared" si="1"/>
        <v>910</v>
      </c>
      <c r="D38" s="34">
        <v>832</v>
      </c>
      <c r="E38" s="34">
        <v>821</v>
      </c>
      <c r="F38" s="35">
        <f t="shared" si="2"/>
        <v>0.98677884615384615</v>
      </c>
      <c r="G38" s="34">
        <v>738</v>
      </c>
      <c r="H38" s="35">
        <f t="shared" si="3"/>
        <v>0.89890377588306947</v>
      </c>
      <c r="I38" s="34">
        <v>83</v>
      </c>
      <c r="J38" s="35">
        <f t="shared" si="4"/>
        <v>0.10109622411693057</v>
      </c>
      <c r="K38" s="34">
        <v>1</v>
      </c>
      <c r="L38" s="35">
        <f t="shared" si="5"/>
        <v>1.201923076923077E-2</v>
      </c>
      <c r="M38" s="34">
        <v>78</v>
      </c>
      <c r="N38" s="35">
        <f t="shared" si="6"/>
        <v>9.375E-2</v>
      </c>
      <c r="O38" s="36">
        <f t="shared" si="7"/>
        <v>0.94284131101845781</v>
      </c>
    </row>
    <row r="39" spans="2:15" x14ac:dyDescent="0.25">
      <c r="B39" s="31" t="s">
        <v>28</v>
      </c>
      <c r="C39" s="34">
        <f t="shared" si="1"/>
        <v>853</v>
      </c>
      <c r="D39" s="34">
        <v>799</v>
      </c>
      <c r="E39" s="34">
        <v>782</v>
      </c>
      <c r="F39" s="35">
        <f t="shared" si="2"/>
        <v>0.97872340425531912</v>
      </c>
      <c r="G39" s="34">
        <v>706</v>
      </c>
      <c r="H39" s="35">
        <f t="shared" si="3"/>
        <v>0.90281329923273657</v>
      </c>
      <c r="I39" s="34">
        <v>76</v>
      </c>
      <c r="J39" s="35">
        <f t="shared" si="4"/>
        <v>9.718670076726342E-2</v>
      </c>
      <c r="K39" s="34">
        <v>1</v>
      </c>
      <c r="L39" s="35">
        <f t="shared" si="5"/>
        <v>2.002503128911139E-2</v>
      </c>
      <c r="M39" s="34">
        <v>54</v>
      </c>
      <c r="N39" s="35">
        <f t="shared" si="6"/>
        <v>6.7584480600750937E-2</v>
      </c>
      <c r="O39" s="36">
        <f t="shared" si="7"/>
        <v>0.94076835174402784</v>
      </c>
    </row>
    <row r="40" spans="2:15" x14ac:dyDescent="0.25">
      <c r="B40" s="31" t="s">
        <v>86</v>
      </c>
      <c r="C40" s="34">
        <f t="shared" si="1"/>
        <v>1168</v>
      </c>
      <c r="D40" s="34">
        <v>1056</v>
      </c>
      <c r="E40" s="34">
        <v>1042</v>
      </c>
      <c r="F40" s="35">
        <f t="shared" si="2"/>
        <v>0.9867424242424242</v>
      </c>
      <c r="G40" s="34">
        <v>927</v>
      </c>
      <c r="H40" s="35">
        <f t="shared" si="3"/>
        <v>0.88963531669865648</v>
      </c>
      <c r="I40" s="34">
        <v>115</v>
      </c>
      <c r="J40" s="35">
        <f t="shared" si="4"/>
        <v>0.11036468330134357</v>
      </c>
      <c r="K40" s="34">
        <v>2</v>
      </c>
      <c r="L40" s="35">
        <f t="shared" si="5"/>
        <v>1.1363636363636364E-2</v>
      </c>
      <c r="M40" s="34">
        <v>112</v>
      </c>
      <c r="N40" s="35">
        <f t="shared" si="6"/>
        <v>0.10606060606060606</v>
      </c>
      <c r="O40" s="36">
        <f t="shared" si="7"/>
        <v>0.93818887047054034</v>
      </c>
    </row>
    <row r="41" spans="2:15" x14ac:dyDescent="0.25">
      <c r="B41" s="31" t="s">
        <v>148</v>
      </c>
      <c r="C41" s="34">
        <f t="shared" si="1"/>
        <v>1122</v>
      </c>
      <c r="D41" s="34">
        <v>1021</v>
      </c>
      <c r="E41" s="34">
        <v>997</v>
      </c>
      <c r="F41" s="35">
        <f t="shared" si="2"/>
        <v>0.97649363369245834</v>
      </c>
      <c r="G41" s="34">
        <v>892</v>
      </c>
      <c r="H41" s="35">
        <f t="shared" si="3"/>
        <v>0.8946840521564694</v>
      </c>
      <c r="I41" s="34">
        <v>105</v>
      </c>
      <c r="J41" s="35">
        <f t="shared" si="4"/>
        <v>0.10531594784353059</v>
      </c>
      <c r="K41" s="34">
        <v>1</v>
      </c>
      <c r="L41" s="35">
        <f t="shared" si="5"/>
        <v>2.2526934378060724E-2</v>
      </c>
      <c r="M41" s="34">
        <v>101</v>
      </c>
      <c r="N41" s="35">
        <f t="shared" si="6"/>
        <v>9.8922624877571003E-2</v>
      </c>
      <c r="O41" s="36">
        <f t="shared" si="7"/>
        <v>0.93558884292446387</v>
      </c>
    </row>
    <row r="42" spans="2:15" x14ac:dyDescent="0.25">
      <c r="B42" s="31" t="s">
        <v>47</v>
      </c>
      <c r="C42" s="34">
        <f t="shared" si="1"/>
        <v>687</v>
      </c>
      <c r="D42" s="34">
        <v>644</v>
      </c>
      <c r="E42" s="34">
        <v>609</v>
      </c>
      <c r="F42" s="35">
        <f t="shared" si="2"/>
        <v>0.94565217391304346</v>
      </c>
      <c r="G42" s="34">
        <v>563</v>
      </c>
      <c r="H42" s="35">
        <f t="shared" si="3"/>
        <v>0.92446633825944169</v>
      </c>
      <c r="I42" s="34">
        <v>46</v>
      </c>
      <c r="J42" s="35">
        <f t="shared" si="4"/>
        <v>7.5533661740558297E-2</v>
      </c>
      <c r="K42" s="34">
        <v>1</v>
      </c>
      <c r="L42" s="35">
        <f t="shared" si="5"/>
        <v>5.2795031055900624E-2</v>
      </c>
      <c r="M42" s="34">
        <v>43</v>
      </c>
      <c r="N42" s="35">
        <f t="shared" si="6"/>
        <v>6.6770186335403728E-2</v>
      </c>
      <c r="O42" s="36">
        <f t="shared" si="7"/>
        <v>0.93505925608624252</v>
      </c>
    </row>
    <row r="43" spans="2:15" x14ac:dyDescent="0.25">
      <c r="B43" s="31" t="s">
        <v>122</v>
      </c>
      <c r="C43" s="34">
        <f t="shared" si="1"/>
        <v>605</v>
      </c>
      <c r="D43" s="34">
        <v>518</v>
      </c>
      <c r="E43" s="34">
        <v>505</v>
      </c>
      <c r="F43" s="35">
        <f t="shared" si="2"/>
        <v>0.97490347490347495</v>
      </c>
      <c r="G43" s="34">
        <v>451</v>
      </c>
      <c r="H43" s="35">
        <f t="shared" si="3"/>
        <v>0.89306930693069309</v>
      </c>
      <c r="I43" s="34">
        <v>54</v>
      </c>
      <c r="J43" s="35">
        <f t="shared" si="4"/>
        <v>0.10693069306930693</v>
      </c>
      <c r="K43" s="34">
        <v>0</v>
      </c>
      <c r="L43" s="35">
        <f t="shared" si="5"/>
        <v>2.5096525096525095E-2</v>
      </c>
      <c r="M43" s="34">
        <v>87</v>
      </c>
      <c r="N43" s="35">
        <f t="shared" si="6"/>
        <v>0.16795366795366795</v>
      </c>
      <c r="O43" s="36">
        <f t="shared" si="7"/>
        <v>0.93398639091708402</v>
      </c>
    </row>
    <row r="44" spans="2:15" x14ac:dyDescent="0.25">
      <c r="B44" s="31" t="s">
        <v>90</v>
      </c>
      <c r="C44" s="34">
        <f t="shared" si="1"/>
        <v>717</v>
      </c>
      <c r="D44" s="34">
        <v>685</v>
      </c>
      <c r="E44" s="34">
        <v>650</v>
      </c>
      <c r="F44" s="35">
        <f t="shared" si="2"/>
        <v>0.94890510948905105</v>
      </c>
      <c r="G44" s="34">
        <v>597</v>
      </c>
      <c r="H44" s="35">
        <f t="shared" si="3"/>
        <v>0.91846153846153844</v>
      </c>
      <c r="I44" s="34">
        <v>53</v>
      </c>
      <c r="J44" s="35">
        <f t="shared" si="4"/>
        <v>8.1538461538461532E-2</v>
      </c>
      <c r="K44" s="34">
        <v>11</v>
      </c>
      <c r="L44" s="35">
        <f t="shared" si="5"/>
        <v>3.5036496350364967E-2</v>
      </c>
      <c r="M44" s="34">
        <v>32</v>
      </c>
      <c r="N44" s="35">
        <f t="shared" si="6"/>
        <v>4.6715328467153282E-2</v>
      </c>
      <c r="O44" s="36">
        <f t="shared" si="7"/>
        <v>0.93368332397529474</v>
      </c>
    </row>
    <row r="45" spans="2:15" x14ac:dyDescent="0.25">
      <c r="B45" s="31" t="s">
        <v>59</v>
      </c>
      <c r="C45" s="34">
        <f t="shared" si="1"/>
        <v>1440</v>
      </c>
      <c r="D45" s="34">
        <v>1330</v>
      </c>
      <c r="E45" s="34">
        <v>1246</v>
      </c>
      <c r="F45" s="35">
        <f t="shared" si="2"/>
        <v>0.93684210526315792</v>
      </c>
      <c r="G45" s="34">
        <v>1159</v>
      </c>
      <c r="H45" s="35">
        <f t="shared" si="3"/>
        <v>0.9301765650080257</v>
      </c>
      <c r="I45" s="34">
        <v>87</v>
      </c>
      <c r="J45" s="35">
        <f t="shared" si="4"/>
        <v>6.9823434991974312E-2</v>
      </c>
      <c r="K45" s="34">
        <v>1</v>
      </c>
      <c r="L45" s="35">
        <f t="shared" si="5"/>
        <v>6.2406015037593986E-2</v>
      </c>
      <c r="M45" s="34">
        <v>110</v>
      </c>
      <c r="N45" s="35">
        <f t="shared" si="6"/>
        <v>8.2706766917293228E-2</v>
      </c>
      <c r="O45" s="36">
        <f t="shared" si="7"/>
        <v>0.93350933513559187</v>
      </c>
    </row>
    <row r="46" spans="2:15" x14ac:dyDescent="0.25">
      <c r="B46" s="31" t="s">
        <v>24</v>
      </c>
      <c r="C46" s="34">
        <f t="shared" si="1"/>
        <v>1551</v>
      </c>
      <c r="D46" s="34">
        <v>1377</v>
      </c>
      <c r="E46" s="34">
        <v>1355</v>
      </c>
      <c r="F46" s="35">
        <f t="shared" si="2"/>
        <v>0.98402323892519972</v>
      </c>
      <c r="G46" s="34">
        <v>1196</v>
      </c>
      <c r="H46" s="35">
        <f t="shared" si="3"/>
        <v>0.88265682656826572</v>
      </c>
      <c r="I46" s="34">
        <v>159</v>
      </c>
      <c r="J46" s="35">
        <f t="shared" si="4"/>
        <v>0.11734317343173432</v>
      </c>
      <c r="K46" s="34">
        <v>3</v>
      </c>
      <c r="L46" s="35">
        <f t="shared" si="5"/>
        <v>1.3798111837327523E-2</v>
      </c>
      <c r="M46" s="34">
        <v>174</v>
      </c>
      <c r="N46" s="35">
        <f t="shared" si="6"/>
        <v>0.12636165577342048</v>
      </c>
      <c r="O46" s="36">
        <f t="shared" si="7"/>
        <v>0.93334003274673272</v>
      </c>
    </row>
    <row r="47" spans="2:15" x14ac:dyDescent="0.25">
      <c r="B47" s="31" t="s">
        <v>106</v>
      </c>
      <c r="C47" s="34">
        <f t="shared" si="1"/>
        <v>616</v>
      </c>
      <c r="D47" s="34">
        <v>593</v>
      </c>
      <c r="E47" s="34">
        <v>580</v>
      </c>
      <c r="F47" s="35">
        <f t="shared" si="2"/>
        <v>0.97807757166947729</v>
      </c>
      <c r="G47" s="34">
        <v>515</v>
      </c>
      <c r="H47" s="35">
        <f t="shared" si="3"/>
        <v>0.88793103448275867</v>
      </c>
      <c r="I47" s="34">
        <v>65</v>
      </c>
      <c r="J47" s="35">
        <f t="shared" si="4"/>
        <v>0.11206896551724138</v>
      </c>
      <c r="K47" s="34">
        <v>1</v>
      </c>
      <c r="L47" s="35">
        <f t="shared" si="5"/>
        <v>2.0236087689713321E-2</v>
      </c>
      <c r="M47" s="34">
        <v>23</v>
      </c>
      <c r="N47" s="35">
        <f t="shared" si="6"/>
        <v>3.87858347386172E-2</v>
      </c>
      <c r="O47" s="36">
        <f t="shared" si="7"/>
        <v>0.93300430307611792</v>
      </c>
    </row>
    <row r="48" spans="2:15" x14ac:dyDescent="0.25">
      <c r="B48" s="31" t="s">
        <v>158</v>
      </c>
      <c r="C48" s="34">
        <f t="shared" si="1"/>
        <v>1250</v>
      </c>
      <c r="D48" s="34">
        <v>1119</v>
      </c>
      <c r="E48" s="34">
        <v>1081</v>
      </c>
      <c r="F48" s="35">
        <f t="shared" si="2"/>
        <v>0.96604110813226096</v>
      </c>
      <c r="G48" s="34">
        <v>971</v>
      </c>
      <c r="H48" s="35">
        <f t="shared" si="3"/>
        <v>0.89824236817761327</v>
      </c>
      <c r="I48" s="34">
        <v>110</v>
      </c>
      <c r="J48" s="35">
        <f t="shared" si="4"/>
        <v>0.10175763182238667</v>
      </c>
      <c r="K48" s="34">
        <v>3</v>
      </c>
      <c r="L48" s="35">
        <f t="shared" si="5"/>
        <v>3.1277926720285967E-2</v>
      </c>
      <c r="M48" s="34">
        <v>131</v>
      </c>
      <c r="N48" s="35">
        <f t="shared" si="6"/>
        <v>0.11706881143878463</v>
      </c>
      <c r="O48" s="36">
        <f t="shared" si="7"/>
        <v>0.93214173815493706</v>
      </c>
    </row>
    <row r="49" spans="2:15" x14ac:dyDescent="0.25">
      <c r="B49" s="31" t="s">
        <v>151</v>
      </c>
      <c r="C49" s="34">
        <f t="shared" si="1"/>
        <v>718</v>
      </c>
      <c r="D49" s="34">
        <v>628</v>
      </c>
      <c r="E49" s="34">
        <v>620</v>
      </c>
      <c r="F49" s="35">
        <f t="shared" si="2"/>
        <v>0.98726114649681529</v>
      </c>
      <c r="G49" s="34">
        <v>540</v>
      </c>
      <c r="H49" s="35">
        <f t="shared" si="3"/>
        <v>0.87096774193548387</v>
      </c>
      <c r="I49" s="34">
        <v>80</v>
      </c>
      <c r="J49" s="35">
        <f t="shared" si="4"/>
        <v>0.12903225806451613</v>
      </c>
      <c r="K49" s="34">
        <v>0</v>
      </c>
      <c r="L49" s="35">
        <f t="shared" si="5"/>
        <v>1.2738853503184714E-2</v>
      </c>
      <c r="M49" s="34">
        <v>90</v>
      </c>
      <c r="N49" s="35">
        <f t="shared" si="6"/>
        <v>0.14331210191082802</v>
      </c>
      <c r="O49" s="36">
        <f t="shared" si="7"/>
        <v>0.92911444421614964</v>
      </c>
    </row>
    <row r="50" spans="2:15" x14ac:dyDescent="0.25">
      <c r="B50" s="31" t="s">
        <v>52</v>
      </c>
      <c r="C50" s="34">
        <f t="shared" si="1"/>
        <v>1084</v>
      </c>
      <c r="D50" s="34">
        <v>964</v>
      </c>
      <c r="E50" s="34">
        <v>935</v>
      </c>
      <c r="F50" s="35">
        <f t="shared" si="2"/>
        <v>0.96991701244813278</v>
      </c>
      <c r="G50" s="34">
        <v>822</v>
      </c>
      <c r="H50" s="35">
        <f t="shared" si="3"/>
        <v>0.87914438502673797</v>
      </c>
      <c r="I50" s="34">
        <v>113</v>
      </c>
      <c r="J50" s="35">
        <f t="shared" si="4"/>
        <v>0.12085561497326203</v>
      </c>
      <c r="K50" s="34">
        <v>3</v>
      </c>
      <c r="L50" s="35">
        <f t="shared" si="5"/>
        <v>2.6970954356846474E-2</v>
      </c>
      <c r="M50" s="34">
        <v>120</v>
      </c>
      <c r="N50" s="35">
        <f t="shared" si="6"/>
        <v>0.12448132780082988</v>
      </c>
      <c r="O50" s="36">
        <f t="shared" si="7"/>
        <v>0.92453069873743532</v>
      </c>
    </row>
    <row r="51" spans="2:15" x14ac:dyDescent="0.25">
      <c r="B51" s="31" t="s">
        <v>31</v>
      </c>
      <c r="C51" s="34">
        <f t="shared" si="1"/>
        <v>1332</v>
      </c>
      <c r="D51" s="34">
        <v>1167</v>
      </c>
      <c r="E51" s="34">
        <v>1136</v>
      </c>
      <c r="F51" s="35">
        <f t="shared" si="2"/>
        <v>0.97343616109682951</v>
      </c>
      <c r="G51" s="34">
        <v>993</v>
      </c>
      <c r="H51" s="35">
        <f t="shared" si="3"/>
        <v>0.87411971830985913</v>
      </c>
      <c r="I51" s="34">
        <v>143</v>
      </c>
      <c r="J51" s="35">
        <f t="shared" si="4"/>
        <v>0.12588028169014084</v>
      </c>
      <c r="K51" s="34">
        <v>2</v>
      </c>
      <c r="L51" s="35">
        <f t="shared" si="5"/>
        <v>2.4850042844901457E-2</v>
      </c>
      <c r="M51" s="34">
        <v>165</v>
      </c>
      <c r="N51" s="35">
        <f t="shared" si="6"/>
        <v>0.14138817480719795</v>
      </c>
      <c r="O51" s="36">
        <f t="shared" si="7"/>
        <v>0.92377793970334432</v>
      </c>
    </row>
    <row r="52" spans="2:15" x14ac:dyDescent="0.25">
      <c r="B52" s="31" t="s">
        <v>145</v>
      </c>
      <c r="C52" s="34">
        <f t="shared" si="1"/>
        <v>956</v>
      </c>
      <c r="D52" s="34">
        <v>871</v>
      </c>
      <c r="E52" s="34">
        <v>819</v>
      </c>
      <c r="F52" s="35">
        <f t="shared" si="2"/>
        <v>0.94029850746268662</v>
      </c>
      <c r="G52" s="34">
        <v>740</v>
      </c>
      <c r="H52" s="35">
        <f t="shared" si="3"/>
        <v>0.90354090354090355</v>
      </c>
      <c r="I52" s="34">
        <v>79</v>
      </c>
      <c r="J52" s="35">
        <f t="shared" si="4"/>
        <v>9.6459096459096463E-2</v>
      </c>
      <c r="K52" s="34">
        <v>1</v>
      </c>
      <c r="L52" s="35">
        <f t="shared" si="5"/>
        <v>5.8553386911595867E-2</v>
      </c>
      <c r="M52" s="34">
        <v>85</v>
      </c>
      <c r="N52" s="35">
        <f t="shared" si="6"/>
        <v>9.7588978185993117E-2</v>
      </c>
      <c r="O52" s="36">
        <f t="shared" si="7"/>
        <v>0.92191970550179514</v>
      </c>
    </row>
    <row r="53" spans="2:15" x14ac:dyDescent="0.25">
      <c r="B53" s="31" t="s">
        <v>46</v>
      </c>
      <c r="C53" s="34">
        <f t="shared" si="1"/>
        <v>776</v>
      </c>
      <c r="D53" s="34">
        <v>709</v>
      </c>
      <c r="E53" s="34">
        <v>685</v>
      </c>
      <c r="F53" s="35">
        <f t="shared" si="2"/>
        <v>0.96614950634696761</v>
      </c>
      <c r="G53" s="34">
        <v>594</v>
      </c>
      <c r="H53" s="35">
        <f t="shared" si="3"/>
        <v>0.86715328467153285</v>
      </c>
      <c r="I53" s="34">
        <v>91</v>
      </c>
      <c r="J53" s="35">
        <f t="shared" si="4"/>
        <v>0.13284671532846715</v>
      </c>
      <c r="K53" s="34">
        <v>0</v>
      </c>
      <c r="L53" s="35">
        <f t="shared" si="5"/>
        <v>3.3850493653032443E-2</v>
      </c>
      <c r="M53" s="34">
        <v>67</v>
      </c>
      <c r="N53" s="35">
        <f t="shared" si="6"/>
        <v>9.4499294781382234E-2</v>
      </c>
      <c r="O53" s="36">
        <f t="shared" si="7"/>
        <v>0.91665139550925023</v>
      </c>
    </row>
    <row r="54" spans="2:15" x14ac:dyDescent="0.25">
      <c r="B54" s="31" t="s">
        <v>75</v>
      </c>
      <c r="C54" s="34">
        <f t="shared" si="1"/>
        <v>1122</v>
      </c>
      <c r="D54" s="34">
        <v>1002</v>
      </c>
      <c r="E54" s="34">
        <v>972</v>
      </c>
      <c r="F54" s="35">
        <f t="shared" si="2"/>
        <v>0.97005988023952094</v>
      </c>
      <c r="G54" s="34">
        <v>838</v>
      </c>
      <c r="H54" s="35">
        <f t="shared" si="3"/>
        <v>0.86213991769547327</v>
      </c>
      <c r="I54" s="34">
        <v>134</v>
      </c>
      <c r="J54" s="35">
        <f t="shared" si="4"/>
        <v>0.13786008230452676</v>
      </c>
      <c r="K54" s="34">
        <v>0</v>
      </c>
      <c r="L54" s="35">
        <f t="shared" si="5"/>
        <v>2.9940119760479042E-2</v>
      </c>
      <c r="M54" s="34">
        <v>120</v>
      </c>
      <c r="N54" s="35">
        <f t="shared" si="6"/>
        <v>0.11976047904191617</v>
      </c>
      <c r="O54" s="36">
        <f t="shared" si="7"/>
        <v>0.91609989896749711</v>
      </c>
    </row>
    <row r="55" spans="2:15" x14ac:dyDescent="0.25">
      <c r="B55" s="31" t="s">
        <v>32</v>
      </c>
      <c r="C55" s="34">
        <f t="shared" si="1"/>
        <v>2028</v>
      </c>
      <c r="D55" s="34">
        <v>1667</v>
      </c>
      <c r="E55" s="34">
        <v>1595</v>
      </c>
      <c r="F55" s="35">
        <f t="shared" si="2"/>
        <v>0.95680863827234552</v>
      </c>
      <c r="G55" s="34">
        <v>1389</v>
      </c>
      <c r="H55" s="35">
        <f t="shared" si="3"/>
        <v>0.87084639498432603</v>
      </c>
      <c r="I55" s="34">
        <v>206</v>
      </c>
      <c r="J55" s="35">
        <f t="shared" si="4"/>
        <v>0.12915360501567399</v>
      </c>
      <c r="K55" s="34">
        <v>22</v>
      </c>
      <c r="L55" s="35">
        <f t="shared" si="5"/>
        <v>2.9994001199760048E-2</v>
      </c>
      <c r="M55" s="34">
        <v>361</v>
      </c>
      <c r="N55" s="35">
        <f t="shared" si="6"/>
        <v>0.21655668866226754</v>
      </c>
      <c r="O55" s="36">
        <f t="shared" si="7"/>
        <v>0.91382751662833583</v>
      </c>
    </row>
    <row r="56" spans="2:15" x14ac:dyDescent="0.25">
      <c r="B56" s="31" t="s">
        <v>155</v>
      </c>
      <c r="C56" s="34">
        <f t="shared" si="1"/>
        <v>1159</v>
      </c>
      <c r="D56" s="34">
        <v>990</v>
      </c>
      <c r="E56" s="34">
        <v>971</v>
      </c>
      <c r="F56" s="35">
        <f t="shared" si="2"/>
        <v>0.9808080808080808</v>
      </c>
      <c r="G56" s="34">
        <v>822</v>
      </c>
      <c r="H56" s="35">
        <f t="shared" si="3"/>
        <v>0.84654994850669418</v>
      </c>
      <c r="I56" s="34">
        <v>149</v>
      </c>
      <c r="J56" s="35">
        <f t="shared" si="4"/>
        <v>0.15345005149330587</v>
      </c>
      <c r="K56" s="34">
        <v>4</v>
      </c>
      <c r="L56" s="35">
        <f t="shared" si="5"/>
        <v>1.5151515151515152E-2</v>
      </c>
      <c r="M56" s="34">
        <v>169</v>
      </c>
      <c r="N56" s="35">
        <f t="shared" si="6"/>
        <v>0.1707070707070707</v>
      </c>
      <c r="O56" s="36">
        <f t="shared" si="7"/>
        <v>0.91367901465738743</v>
      </c>
    </row>
    <row r="57" spans="2:15" x14ac:dyDescent="0.25">
      <c r="B57" s="31" t="s">
        <v>79</v>
      </c>
      <c r="C57" s="34">
        <f t="shared" ref="C57:C74" si="8">+D57+M57</f>
        <v>993</v>
      </c>
      <c r="D57" s="34">
        <v>862</v>
      </c>
      <c r="E57" s="34">
        <v>822</v>
      </c>
      <c r="F57" s="35">
        <f t="shared" ref="F57:F74" si="9">+E57/D57</f>
        <v>0.95359628770301619</v>
      </c>
      <c r="G57" s="34">
        <v>707</v>
      </c>
      <c r="H57" s="35">
        <f t="shared" ref="H57:H74" si="10">+G57/E57</f>
        <v>0.86009732360097324</v>
      </c>
      <c r="I57" s="34">
        <v>115</v>
      </c>
      <c r="J57" s="35">
        <f t="shared" ref="J57:J74" si="11">+I57/E57</f>
        <v>0.13990267639902676</v>
      </c>
      <c r="K57" s="34">
        <v>6</v>
      </c>
      <c r="L57" s="35">
        <f t="shared" ref="L57:L74" si="12">+(D57-E57-K57)/D57</f>
        <v>3.9443155452436193E-2</v>
      </c>
      <c r="M57" s="34">
        <v>131</v>
      </c>
      <c r="N57" s="35">
        <f t="shared" ref="N57:N74" si="13">+M57/D57</f>
        <v>0.1519721577726218</v>
      </c>
      <c r="O57" s="36">
        <f t="shared" ref="O57:O74" si="14">+(F57+H57)/2</f>
        <v>0.90684680565199471</v>
      </c>
    </row>
    <row r="58" spans="2:15" x14ac:dyDescent="0.25">
      <c r="B58" s="31" t="s">
        <v>152</v>
      </c>
      <c r="C58" s="34">
        <f t="shared" si="8"/>
        <v>630</v>
      </c>
      <c r="D58" s="34">
        <v>560</v>
      </c>
      <c r="E58" s="34">
        <v>537</v>
      </c>
      <c r="F58" s="35">
        <f t="shared" si="9"/>
        <v>0.95892857142857146</v>
      </c>
      <c r="G58" s="34">
        <v>459</v>
      </c>
      <c r="H58" s="35">
        <f t="shared" si="10"/>
        <v>0.85474860335195535</v>
      </c>
      <c r="I58" s="34">
        <v>78</v>
      </c>
      <c r="J58" s="35">
        <f t="shared" si="11"/>
        <v>0.14525139664804471</v>
      </c>
      <c r="K58" s="34">
        <v>0</v>
      </c>
      <c r="L58" s="35">
        <f t="shared" si="12"/>
        <v>4.1071428571428571E-2</v>
      </c>
      <c r="M58" s="34">
        <v>70</v>
      </c>
      <c r="N58" s="35">
        <f t="shared" si="13"/>
        <v>0.125</v>
      </c>
      <c r="O58" s="36">
        <f t="shared" si="14"/>
        <v>0.90683858739026335</v>
      </c>
    </row>
    <row r="59" spans="2:15" x14ac:dyDescent="0.25">
      <c r="B59" s="31" t="s">
        <v>130</v>
      </c>
      <c r="C59" s="34">
        <f t="shared" si="8"/>
        <v>749</v>
      </c>
      <c r="D59" s="34">
        <v>672</v>
      </c>
      <c r="E59" s="34">
        <v>663</v>
      </c>
      <c r="F59" s="35">
        <f t="shared" si="9"/>
        <v>0.9866071428571429</v>
      </c>
      <c r="G59" s="34">
        <v>545</v>
      </c>
      <c r="H59" s="35">
        <f t="shared" si="10"/>
        <v>0.82202111613876316</v>
      </c>
      <c r="I59" s="34">
        <v>118</v>
      </c>
      <c r="J59" s="35">
        <f t="shared" si="11"/>
        <v>0.17797888386123681</v>
      </c>
      <c r="K59" s="34">
        <v>0</v>
      </c>
      <c r="L59" s="35">
        <f t="shared" si="12"/>
        <v>1.3392857142857142E-2</v>
      </c>
      <c r="M59" s="34">
        <v>77</v>
      </c>
      <c r="N59" s="35">
        <f t="shared" si="13"/>
        <v>0.11458333333333333</v>
      </c>
      <c r="O59" s="36">
        <f t="shared" si="14"/>
        <v>0.90431412949795309</v>
      </c>
    </row>
    <row r="60" spans="2:15" x14ac:dyDescent="0.25">
      <c r="B60" s="31" t="s">
        <v>169</v>
      </c>
      <c r="C60" s="34">
        <f t="shared" si="8"/>
        <v>1727</v>
      </c>
      <c r="D60" s="34">
        <v>1557</v>
      </c>
      <c r="E60" s="34">
        <v>1402</v>
      </c>
      <c r="F60" s="35">
        <f t="shared" si="9"/>
        <v>0.90044958253050733</v>
      </c>
      <c r="G60" s="34">
        <v>1228</v>
      </c>
      <c r="H60" s="35">
        <f t="shared" si="10"/>
        <v>0.87589158345221108</v>
      </c>
      <c r="I60" s="34">
        <v>174</v>
      </c>
      <c r="J60" s="35">
        <f t="shared" si="11"/>
        <v>0.12410841654778887</v>
      </c>
      <c r="K60" s="34">
        <v>14</v>
      </c>
      <c r="L60" s="35">
        <f t="shared" si="12"/>
        <v>9.05587668593449E-2</v>
      </c>
      <c r="M60" s="34">
        <v>170</v>
      </c>
      <c r="N60" s="35">
        <f t="shared" si="13"/>
        <v>0.10918432883750803</v>
      </c>
      <c r="O60" s="36">
        <f t="shared" si="14"/>
        <v>0.8881705829913592</v>
      </c>
    </row>
    <row r="61" spans="2:15" x14ac:dyDescent="0.25">
      <c r="B61" s="31" t="s">
        <v>149</v>
      </c>
      <c r="C61" s="34">
        <f t="shared" si="8"/>
        <v>1376</v>
      </c>
      <c r="D61" s="34">
        <v>1264</v>
      </c>
      <c r="E61" s="34">
        <v>1219</v>
      </c>
      <c r="F61" s="35">
        <f t="shared" si="9"/>
        <v>0.96439873417721522</v>
      </c>
      <c r="G61" s="34">
        <v>982</v>
      </c>
      <c r="H61" s="35">
        <f t="shared" si="10"/>
        <v>0.80557834290401964</v>
      </c>
      <c r="I61" s="34">
        <v>237</v>
      </c>
      <c r="J61" s="35">
        <f t="shared" si="11"/>
        <v>0.1944216570959803</v>
      </c>
      <c r="K61" s="34">
        <v>3</v>
      </c>
      <c r="L61" s="35">
        <f t="shared" si="12"/>
        <v>3.3227848101265819E-2</v>
      </c>
      <c r="M61" s="34">
        <v>112</v>
      </c>
      <c r="N61" s="35">
        <f t="shared" si="13"/>
        <v>8.8607594936708861E-2</v>
      </c>
      <c r="O61" s="36">
        <f t="shared" si="14"/>
        <v>0.88498853854061743</v>
      </c>
    </row>
    <row r="62" spans="2:15" x14ac:dyDescent="0.25">
      <c r="B62" s="31" t="s">
        <v>137</v>
      </c>
      <c r="C62" s="34">
        <f t="shared" si="8"/>
        <v>1798</v>
      </c>
      <c r="D62" s="34">
        <v>1609</v>
      </c>
      <c r="E62" s="34">
        <v>1451</v>
      </c>
      <c r="F62" s="35">
        <f t="shared" si="9"/>
        <v>0.90180236171535111</v>
      </c>
      <c r="G62" s="34">
        <v>1257</v>
      </c>
      <c r="H62" s="35">
        <f t="shared" si="10"/>
        <v>0.86629910406616129</v>
      </c>
      <c r="I62" s="34">
        <v>194</v>
      </c>
      <c r="J62" s="35">
        <f t="shared" si="11"/>
        <v>0.13370089593383874</v>
      </c>
      <c r="K62" s="34">
        <v>25</v>
      </c>
      <c r="L62" s="35">
        <f t="shared" si="12"/>
        <v>8.2660037290242391E-2</v>
      </c>
      <c r="M62" s="34">
        <v>189</v>
      </c>
      <c r="N62" s="35">
        <f t="shared" si="13"/>
        <v>0.11746426351771287</v>
      </c>
      <c r="O62" s="36">
        <f t="shared" si="14"/>
        <v>0.8840507328907562</v>
      </c>
    </row>
    <row r="63" spans="2:15" x14ac:dyDescent="0.25">
      <c r="B63" s="31" t="s">
        <v>120</v>
      </c>
      <c r="C63" s="34">
        <f t="shared" si="8"/>
        <v>936</v>
      </c>
      <c r="D63" s="34">
        <v>784</v>
      </c>
      <c r="E63" s="34">
        <v>753</v>
      </c>
      <c r="F63" s="35">
        <f t="shared" si="9"/>
        <v>0.96045918367346939</v>
      </c>
      <c r="G63" s="34">
        <v>594</v>
      </c>
      <c r="H63" s="35">
        <f t="shared" si="10"/>
        <v>0.78884462151394419</v>
      </c>
      <c r="I63" s="34">
        <v>159</v>
      </c>
      <c r="J63" s="35">
        <f t="shared" si="11"/>
        <v>0.21115537848605578</v>
      </c>
      <c r="K63" s="34">
        <v>13</v>
      </c>
      <c r="L63" s="35">
        <f t="shared" si="12"/>
        <v>2.2959183673469389E-2</v>
      </c>
      <c r="M63" s="34">
        <v>152</v>
      </c>
      <c r="N63" s="35">
        <f t="shared" si="13"/>
        <v>0.19387755102040816</v>
      </c>
      <c r="O63" s="36">
        <f t="shared" si="14"/>
        <v>0.87465190259370673</v>
      </c>
    </row>
    <row r="64" spans="2:15" x14ac:dyDescent="0.25">
      <c r="B64" s="31" t="s">
        <v>126</v>
      </c>
      <c r="C64" s="34">
        <f t="shared" si="8"/>
        <v>1486</v>
      </c>
      <c r="D64" s="34">
        <v>1378</v>
      </c>
      <c r="E64" s="34">
        <v>1263</v>
      </c>
      <c r="F64" s="35">
        <f t="shared" si="9"/>
        <v>0.91654571843251087</v>
      </c>
      <c r="G64" s="34">
        <v>1036</v>
      </c>
      <c r="H64" s="35">
        <f t="shared" si="10"/>
        <v>0.82026920031670625</v>
      </c>
      <c r="I64" s="34">
        <v>227</v>
      </c>
      <c r="J64" s="35">
        <f t="shared" si="11"/>
        <v>0.17973079968329375</v>
      </c>
      <c r="K64" s="34">
        <v>57</v>
      </c>
      <c r="L64" s="35">
        <f t="shared" si="12"/>
        <v>4.2089985486211901E-2</v>
      </c>
      <c r="M64" s="34">
        <v>108</v>
      </c>
      <c r="N64" s="35">
        <f t="shared" si="13"/>
        <v>7.8374455732946297E-2</v>
      </c>
      <c r="O64" s="36">
        <f t="shared" si="14"/>
        <v>0.8684074593746085</v>
      </c>
    </row>
    <row r="65" spans="2:15" x14ac:dyDescent="0.25">
      <c r="B65" s="31" t="s">
        <v>77</v>
      </c>
      <c r="C65" s="34">
        <f t="shared" si="8"/>
        <v>1777</v>
      </c>
      <c r="D65" s="34">
        <v>1640</v>
      </c>
      <c r="E65" s="34">
        <v>1578</v>
      </c>
      <c r="F65" s="35">
        <f t="shared" si="9"/>
        <v>0.96219512195121948</v>
      </c>
      <c r="G65" s="34">
        <v>1196</v>
      </c>
      <c r="H65" s="35">
        <f t="shared" si="10"/>
        <v>0.75792141951837766</v>
      </c>
      <c r="I65" s="34">
        <v>382</v>
      </c>
      <c r="J65" s="35">
        <f t="shared" si="11"/>
        <v>0.24207858048162231</v>
      </c>
      <c r="K65" s="34">
        <v>2</v>
      </c>
      <c r="L65" s="35">
        <f t="shared" si="12"/>
        <v>3.6585365853658534E-2</v>
      </c>
      <c r="M65" s="34">
        <v>137</v>
      </c>
      <c r="N65" s="35">
        <f t="shared" si="13"/>
        <v>8.3536585365853663E-2</v>
      </c>
      <c r="O65" s="36">
        <f t="shared" si="14"/>
        <v>0.86005827073479857</v>
      </c>
    </row>
    <row r="66" spans="2:15" x14ac:dyDescent="0.25">
      <c r="B66" s="31" t="s">
        <v>23</v>
      </c>
      <c r="C66" s="34">
        <f t="shared" si="8"/>
        <v>911</v>
      </c>
      <c r="D66" s="34">
        <v>777</v>
      </c>
      <c r="E66" s="34">
        <v>738</v>
      </c>
      <c r="F66" s="35">
        <f t="shared" si="9"/>
        <v>0.9498069498069498</v>
      </c>
      <c r="G66" s="34">
        <v>558</v>
      </c>
      <c r="H66" s="35">
        <f t="shared" si="10"/>
        <v>0.75609756097560976</v>
      </c>
      <c r="I66" s="34">
        <v>180</v>
      </c>
      <c r="J66" s="35">
        <f t="shared" si="11"/>
        <v>0.24390243902439024</v>
      </c>
      <c r="K66" s="34">
        <v>1</v>
      </c>
      <c r="L66" s="35">
        <f t="shared" si="12"/>
        <v>4.8906048906048903E-2</v>
      </c>
      <c r="M66" s="34">
        <v>134</v>
      </c>
      <c r="N66" s="35">
        <f t="shared" si="13"/>
        <v>0.17245817245817247</v>
      </c>
      <c r="O66" s="36">
        <f t="shared" si="14"/>
        <v>0.85295225539127983</v>
      </c>
    </row>
    <row r="67" spans="2:15" x14ac:dyDescent="0.25">
      <c r="B67" s="31" t="s">
        <v>184</v>
      </c>
      <c r="C67" s="34">
        <f t="shared" si="8"/>
        <v>1004</v>
      </c>
      <c r="D67" s="34">
        <v>857</v>
      </c>
      <c r="E67" s="34">
        <v>840</v>
      </c>
      <c r="F67" s="35">
        <f t="shared" si="9"/>
        <v>0.98016336056009334</v>
      </c>
      <c r="G67" s="34">
        <v>601</v>
      </c>
      <c r="H67" s="35">
        <f t="shared" si="10"/>
        <v>0.71547619047619049</v>
      </c>
      <c r="I67" s="34">
        <v>239</v>
      </c>
      <c r="J67" s="35">
        <f t="shared" si="11"/>
        <v>0.28452380952380951</v>
      </c>
      <c r="K67" s="34">
        <v>0</v>
      </c>
      <c r="L67" s="35">
        <f t="shared" si="12"/>
        <v>1.9836639439906652E-2</v>
      </c>
      <c r="M67" s="34">
        <v>147</v>
      </c>
      <c r="N67" s="35">
        <f t="shared" si="13"/>
        <v>0.17152858809801633</v>
      </c>
      <c r="O67" s="36">
        <f t="shared" si="14"/>
        <v>0.84781977551814192</v>
      </c>
    </row>
    <row r="68" spans="2:15" x14ac:dyDescent="0.25">
      <c r="B68" s="31" t="s">
        <v>108</v>
      </c>
      <c r="C68" s="34">
        <f t="shared" si="8"/>
        <v>1193</v>
      </c>
      <c r="D68" s="34">
        <v>1143</v>
      </c>
      <c r="E68" s="34">
        <v>884</v>
      </c>
      <c r="F68" s="35">
        <f t="shared" si="9"/>
        <v>0.77340332458442695</v>
      </c>
      <c r="G68" s="34">
        <v>814</v>
      </c>
      <c r="H68" s="35">
        <f t="shared" si="10"/>
        <v>0.920814479638009</v>
      </c>
      <c r="I68" s="34">
        <v>70</v>
      </c>
      <c r="J68" s="35">
        <f t="shared" si="11"/>
        <v>7.9185520361990946E-2</v>
      </c>
      <c r="K68" s="34">
        <v>0</v>
      </c>
      <c r="L68" s="35">
        <f t="shared" si="12"/>
        <v>0.22659667541557305</v>
      </c>
      <c r="M68" s="34">
        <v>50</v>
      </c>
      <c r="N68" s="35">
        <f t="shared" si="13"/>
        <v>4.3744531933508309E-2</v>
      </c>
      <c r="O68" s="36">
        <f t="shared" si="14"/>
        <v>0.84710890211121792</v>
      </c>
    </row>
    <row r="69" spans="2:15" x14ac:dyDescent="0.25">
      <c r="B69" s="31" t="s">
        <v>22</v>
      </c>
      <c r="C69" s="34">
        <f t="shared" si="8"/>
        <v>784</v>
      </c>
      <c r="D69" s="34">
        <v>646</v>
      </c>
      <c r="E69" s="34">
        <v>618</v>
      </c>
      <c r="F69" s="35">
        <f t="shared" si="9"/>
        <v>0.95665634674922606</v>
      </c>
      <c r="G69" s="34">
        <v>443</v>
      </c>
      <c r="H69" s="35">
        <f t="shared" si="10"/>
        <v>0.71682847896440127</v>
      </c>
      <c r="I69" s="34">
        <v>175</v>
      </c>
      <c r="J69" s="35">
        <f t="shared" si="11"/>
        <v>0.28317152103559873</v>
      </c>
      <c r="K69" s="34">
        <v>2</v>
      </c>
      <c r="L69" s="35">
        <f t="shared" si="12"/>
        <v>4.0247678018575851E-2</v>
      </c>
      <c r="M69" s="34">
        <v>138</v>
      </c>
      <c r="N69" s="35">
        <f t="shared" si="13"/>
        <v>0.21362229102167182</v>
      </c>
      <c r="O69" s="36">
        <f t="shared" si="14"/>
        <v>0.83674241285681372</v>
      </c>
    </row>
    <row r="70" spans="2:15" x14ac:dyDescent="0.25">
      <c r="B70" s="31" t="s">
        <v>123</v>
      </c>
      <c r="C70" s="34">
        <f t="shared" si="8"/>
        <v>1378</v>
      </c>
      <c r="D70" s="34">
        <v>1142</v>
      </c>
      <c r="E70" s="34">
        <v>1046</v>
      </c>
      <c r="F70" s="35">
        <f t="shared" si="9"/>
        <v>0.9159369527145359</v>
      </c>
      <c r="G70" s="34">
        <v>727</v>
      </c>
      <c r="H70" s="35">
        <f t="shared" si="10"/>
        <v>0.69502868068833656</v>
      </c>
      <c r="I70" s="34">
        <v>319</v>
      </c>
      <c r="J70" s="35">
        <f t="shared" si="11"/>
        <v>0.30497131931166349</v>
      </c>
      <c r="K70" s="34">
        <v>2</v>
      </c>
      <c r="L70" s="35">
        <f t="shared" si="12"/>
        <v>8.2311733800350256E-2</v>
      </c>
      <c r="M70" s="34">
        <v>236</v>
      </c>
      <c r="N70" s="35">
        <f t="shared" si="13"/>
        <v>0.20665499124343256</v>
      </c>
      <c r="O70" s="36">
        <f t="shared" si="14"/>
        <v>0.80548281670143629</v>
      </c>
    </row>
    <row r="71" spans="2:15" x14ac:dyDescent="0.25">
      <c r="B71" s="31" t="s">
        <v>112</v>
      </c>
      <c r="C71" s="34">
        <f t="shared" si="8"/>
        <v>961</v>
      </c>
      <c r="D71" s="34">
        <v>822</v>
      </c>
      <c r="E71" s="34">
        <v>793</v>
      </c>
      <c r="F71" s="35">
        <f t="shared" si="9"/>
        <v>0.96472019464720193</v>
      </c>
      <c r="G71" s="34">
        <v>504</v>
      </c>
      <c r="H71" s="35">
        <f t="shared" si="10"/>
        <v>0.63556116015132413</v>
      </c>
      <c r="I71" s="34">
        <v>289</v>
      </c>
      <c r="J71" s="35">
        <f t="shared" si="11"/>
        <v>0.36443883984867592</v>
      </c>
      <c r="K71" s="34">
        <v>1</v>
      </c>
      <c r="L71" s="35">
        <f t="shared" si="12"/>
        <v>3.4063260340632603E-2</v>
      </c>
      <c r="M71" s="34">
        <v>139</v>
      </c>
      <c r="N71" s="35">
        <f t="shared" si="13"/>
        <v>0.16909975669099755</v>
      </c>
      <c r="O71" s="36">
        <f t="shared" si="14"/>
        <v>0.80014067739926298</v>
      </c>
    </row>
    <row r="72" spans="2:15" x14ac:dyDescent="0.25">
      <c r="B72" s="31" t="s">
        <v>119</v>
      </c>
      <c r="C72" s="34">
        <f t="shared" si="8"/>
        <v>767</v>
      </c>
      <c r="D72" s="34">
        <v>685</v>
      </c>
      <c r="E72" s="34">
        <v>618</v>
      </c>
      <c r="F72" s="35">
        <f t="shared" si="9"/>
        <v>0.90218978102189784</v>
      </c>
      <c r="G72" s="34">
        <v>406</v>
      </c>
      <c r="H72" s="35">
        <f t="shared" si="10"/>
        <v>0.65695792880258896</v>
      </c>
      <c r="I72" s="34">
        <v>212</v>
      </c>
      <c r="J72" s="35">
        <f t="shared" si="11"/>
        <v>0.34304207119741098</v>
      </c>
      <c r="K72" s="34">
        <v>2</v>
      </c>
      <c r="L72" s="35">
        <f t="shared" si="12"/>
        <v>9.4890510948905105E-2</v>
      </c>
      <c r="M72" s="34">
        <v>82</v>
      </c>
      <c r="N72" s="35">
        <f t="shared" si="13"/>
        <v>0.11970802919708029</v>
      </c>
      <c r="O72" s="36">
        <f t="shared" si="14"/>
        <v>0.7795738549122434</v>
      </c>
    </row>
    <row r="73" spans="2:15" x14ac:dyDescent="0.25">
      <c r="B73" s="31" t="s">
        <v>116</v>
      </c>
      <c r="C73" s="34">
        <f t="shared" si="8"/>
        <v>606</v>
      </c>
      <c r="D73" s="34">
        <v>535</v>
      </c>
      <c r="E73" s="34">
        <v>522</v>
      </c>
      <c r="F73" s="35">
        <f t="shared" si="9"/>
        <v>0.97570093457943929</v>
      </c>
      <c r="G73" s="34">
        <v>304</v>
      </c>
      <c r="H73" s="35">
        <f t="shared" si="10"/>
        <v>0.58237547892720309</v>
      </c>
      <c r="I73" s="34">
        <v>218</v>
      </c>
      <c r="J73" s="35">
        <f t="shared" si="11"/>
        <v>0.41762452107279696</v>
      </c>
      <c r="K73" s="34">
        <v>0</v>
      </c>
      <c r="L73" s="35">
        <f t="shared" si="12"/>
        <v>2.4299065420560748E-2</v>
      </c>
      <c r="M73" s="34">
        <v>71</v>
      </c>
      <c r="N73" s="35">
        <f t="shared" si="13"/>
        <v>0.13271028037383178</v>
      </c>
      <c r="O73" s="36">
        <f t="shared" si="14"/>
        <v>0.77903820675332125</v>
      </c>
    </row>
    <row r="74" spans="2:15" x14ac:dyDescent="0.25">
      <c r="B74" s="31" t="s">
        <v>62</v>
      </c>
      <c r="C74" s="34">
        <f t="shared" si="8"/>
        <v>1206</v>
      </c>
      <c r="D74" s="34">
        <v>966</v>
      </c>
      <c r="E74" s="34">
        <v>937</v>
      </c>
      <c r="F74" s="35">
        <f t="shared" si="9"/>
        <v>0.96997929606625255</v>
      </c>
      <c r="G74" s="34">
        <v>518</v>
      </c>
      <c r="H74" s="35">
        <f t="shared" si="10"/>
        <v>0.55282817502668091</v>
      </c>
      <c r="I74" s="34">
        <v>419</v>
      </c>
      <c r="J74" s="35">
        <f t="shared" si="11"/>
        <v>0.44717182497331909</v>
      </c>
      <c r="K74" s="34">
        <v>1</v>
      </c>
      <c r="L74" s="35">
        <f t="shared" si="12"/>
        <v>2.8985507246376812E-2</v>
      </c>
      <c r="M74" s="34">
        <v>240</v>
      </c>
      <c r="N74" s="35">
        <f t="shared" si="13"/>
        <v>0.2484472049689441</v>
      </c>
      <c r="O74" s="36">
        <f t="shared" si="14"/>
        <v>0.76140373554646668</v>
      </c>
    </row>
    <row r="75" spans="2:15" s="37" customFormat="1" x14ac:dyDescent="0.25">
      <c r="C75" s="38"/>
      <c r="D75" s="38"/>
      <c r="E75" s="38"/>
      <c r="F75" s="39"/>
      <c r="G75" s="38"/>
      <c r="H75" s="39"/>
      <c r="I75" s="38"/>
      <c r="J75" s="39"/>
      <c r="K75" s="38"/>
      <c r="L75" s="39"/>
      <c r="M75" s="38"/>
      <c r="N75" s="39"/>
      <c r="O75" s="40"/>
    </row>
    <row r="76" spans="2:15" s="37" customFormat="1" x14ac:dyDescent="0.25">
      <c r="C76" s="38"/>
      <c r="D76" s="38"/>
      <c r="E76" s="38"/>
      <c r="F76" s="39"/>
      <c r="G76" s="38"/>
      <c r="H76" s="39"/>
      <c r="I76" s="38"/>
      <c r="J76" s="39"/>
      <c r="K76" s="38"/>
      <c r="L76" s="39"/>
      <c r="M76" s="38"/>
      <c r="N76" s="39"/>
      <c r="O76" s="40"/>
    </row>
    <row r="77" spans="2:15" ht="60" x14ac:dyDescent="0.25">
      <c r="B77" s="8" t="s">
        <v>246</v>
      </c>
      <c r="C77" s="8" t="s">
        <v>194</v>
      </c>
      <c r="D77" s="8" t="s">
        <v>195</v>
      </c>
      <c r="E77" s="8" t="s">
        <v>196</v>
      </c>
      <c r="F77" s="9" t="s">
        <v>197</v>
      </c>
      <c r="G77" s="8" t="s">
        <v>198</v>
      </c>
      <c r="H77" s="9" t="s">
        <v>199</v>
      </c>
      <c r="I77" s="8" t="s">
        <v>200</v>
      </c>
      <c r="J77" s="9" t="s">
        <v>201</v>
      </c>
      <c r="K77" s="8" t="s">
        <v>202</v>
      </c>
      <c r="L77" s="9" t="s">
        <v>203</v>
      </c>
      <c r="M77" s="8" t="s">
        <v>204</v>
      </c>
      <c r="N77" s="9" t="s">
        <v>205</v>
      </c>
      <c r="O77" s="9" t="s">
        <v>206</v>
      </c>
    </row>
    <row r="78" spans="2:15" ht="17.25" x14ac:dyDescent="0.25">
      <c r="B78" s="8"/>
      <c r="C78" s="8" t="s">
        <v>209</v>
      </c>
      <c r="D78" s="8">
        <v>2</v>
      </c>
      <c r="E78" s="8">
        <v>3</v>
      </c>
      <c r="F78" s="9" t="s">
        <v>210</v>
      </c>
      <c r="G78" s="33" t="s">
        <v>211</v>
      </c>
      <c r="H78" s="9" t="s">
        <v>212</v>
      </c>
      <c r="I78" s="33" t="s">
        <v>213</v>
      </c>
      <c r="J78" s="9" t="s">
        <v>214</v>
      </c>
      <c r="K78" s="33" t="s">
        <v>215</v>
      </c>
      <c r="L78" s="9" t="s">
        <v>216</v>
      </c>
      <c r="M78" s="33" t="s">
        <v>217</v>
      </c>
      <c r="N78" s="9" t="s">
        <v>218</v>
      </c>
      <c r="O78" s="9" t="s">
        <v>245</v>
      </c>
    </row>
    <row r="79" spans="2:15" x14ac:dyDescent="0.25">
      <c r="B79" s="31" t="s">
        <v>142</v>
      </c>
      <c r="C79" s="34">
        <f t="shared" ref="C79:C110" si="15">+D79+M79</f>
        <v>274</v>
      </c>
      <c r="D79" s="34">
        <v>269</v>
      </c>
      <c r="E79" s="34">
        <v>263</v>
      </c>
      <c r="F79" s="35">
        <f t="shared" ref="F79:F110" si="16">+E79/D79</f>
        <v>0.97769516728624539</v>
      </c>
      <c r="G79" s="34">
        <v>259</v>
      </c>
      <c r="H79" s="35">
        <f t="shared" ref="H79:H110" si="17">+G79/E79</f>
        <v>0.98479087452471481</v>
      </c>
      <c r="I79" s="34">
        <v>4</v>
      </c>
      <c r="J79" s="35">
        <f t="shared" ref="J79:J110" si="18">+I79/E79</f>
        <v>1.5209125475285171E-2</v>
      </c>
      <c r="K79" s="34">
        <v>0</v>
      </c>
      <c r="L79" s="35">
        <f t="shared" ref="L79:L110" si="19">+(D79-E79-K79)/D79</f>
        <v>2.2304832713754646E-2</v>
      </c>
      <c r="M79" s="34">
        <v>5</v>
      </c>
      <c r="N79" s="35">
        <f t="shared" ref="N79:N110" si="20">+M79/D79</f>
        <v>1.858736059479554E-2</v>
      </c>
      <c r="O79" s="36">
        <f t="shared" ref="O79:O110" si="21">+(F79+H79)/2</f>
        <v>0.9812430209054801</v>
      </c>
    </row>
    <row r="80" spans="2:15" x14ac:dyDescent="0.25">
      <c r="B80" s="31" t="s">
        <v>45</v>
      </c>
      <c r="C80" s="34">
        <f t="shared" si="15"/>
        <v>166</v>
      </c>
      <c r="D80" s="34">
        <v>159</v>
      </c>
      <c r="E80" s="34">
        <v>158</v>
      </c>
      <c r="F80" s="35">
        <f t="shared" si="16"/>
        <v>0.99371069182389937</v>
      </c>
      <c r="G80" s="34">
        <v>153</v>
      </c>
      <c r="H80" s="35">
        <f t="shared" si="17"/>
        <v>0.96835443037974689</v>
      </c>
      <c r="I80" s="34">
        <v>5</v>
      </c>
      <c r="J80" s="35">
        <f t="shared" si="18"/>
        <v>3.1645569620253167E-2</v>
      </c>
      <c r="K80" s="34">
        <v>1</v>
      </c>
      <c r="L80" s="35">
        <f t="shared" si="19"/>
        <v>0</v>
      </c>
      <c r="M80" s="34">
        <v>7</v>
      </c>
      <c r="N80" s="35">
        <f t="shared" si="20"/>
        <v>4.40251572327044E-2</v>
      </c>
      <c r="O80" s="36">
        <f t="shared" si="21"/>
        <v>0.98103256110182313</v>
      </c>
    </row>
    <row r="81" spans="2:15" x14ac:dyDescent="0.25">
      <c r="B81" s="31" t="s">
        <v>57</v>
      </c>
      <c r="C81" s="34">
        <f t="shared" si="15"/>
        <v>134</v>
      </c>
      <c r="D81" s="34">
        <v>130</v>
      </c>
      <c r="E81" s="34">
        <v>127</v>
      </c>
      <c r="F81" s="35">
        <f t="shared" si="16"/>
        <v>0.97692307692307689</v>
      </c>
      <c r="G81" s="34">
        <v>125</v>
      </c>
      <c r="H81" s="35">
        <f t="shared" si="17"/>
        <v>0.98425196850393704</v>
      </c>
      <c r="I81" s="34">
        <v>2</v>
      </c>
      <c r="J81" s="35">
        <f t="shared" si="18"/>
        <v>1.5748031496062992E-2</v>
      </c>
      <c r="K81" s="34">
        <v>2</v>
      </c>
      <c r="L81" s="35">
        <f t="shared" si="19"/>
        <v>7.6923076923076927E-3</v>
      </c>
      <c r="M81" s="34">
        <v>4</v>
      </c>
      <c r="N81" s="35">
        <f t="shared" si="20"/>
        <v>3.0769230769230771E-2</v>
      </c>
      <c r="O81" s="36">
        <f t="shared" si="21"/>
        <v>0.98058752271350702</v>
      </c>
    </row>
    <row r="82" spans="2:15" x14ac:dyDescent="0.25">
      <c r="B82" s="31" t="s">
        <v>125</v>
      </c>
      <c r="C82" s="34">
        <f t="shared" si="15"/>
        <v>243</v>
      </c>
      <c r="D82" s="34">
        <v>241</v>
      </c>
      <c r="E82" s="34">
        <v>237</v>
      </c>
      <c r="F82" s="35">
        <f t="shared" si="16"/>
        <v>0.98340248962655596</v>
      </c>
      <c r="G82" s="34">
        <v>231</v>
      </c>
      <c r="H82" s="35">
        <f t="shared" si="17"/>
        <v>0.97468354430379744</v>
      </c>
      <c r="I82" s="34">
        <v>6</v>
      </c>
      <c r="J82" s="35">
        <f t="shared" si="18"/>
        <v>2.5316455696202531E-2</v>
      </c>
      <c r="K82" s="34">
        <v>0</v>
      </c>
      <c r="L82" s="35">
        <f t="shared" si="19"/>
        <v>1.6597510373443983E-2</v>
      </c>
      <c r="M82" s="34">
        <v>2</v>
      </c>
      <c r="N82" s="35">
        <f t="shared" si="20"/>
        <v>8.2987551867219917E-3</v>
      </c>
      <c r="O82" s="36">
        <f t="shared" si="21"/>
        <v>0.9790430169651767</v>
      </c>
    </row>
    <row r="83" spans="2:15" x14ac:dyDescent="0.25">
      <c r="B83" s="31" t="s">
        <v>92</v>
      </c>
      <c r="C83" s="34">
        <f t="shared" si="15"/>
        <v>225</v>
      </c>
      <c r="D83" s="34">
        <v>219</v>
      </c>
      <c r="E83" s="34">
        <v>216</v>
      </c>
      <c r="F83" s="35">
        <f t="shared" si="16"/>
        <v>0.98630136986301364</v>
      </c>
      <c r="G83" s="34">
        <v>209</v>
      </c>
      <c r="H83" s="35">
        <f t="shared" si="17"/>
        <v>0.96759259259259256</v>
      </c>
      <c r="I83" s="34">
        <v>7</v>
      </c>
      <c r="J83" s="35">
        <f t="shared" si="18"/>
        <v>3.2407407407407406E-2</v>
      </c>
      <c r="K83" s="34">
        <v>1</v>
      </c>
      <c r="L83" s="35">
        <f t="shared" si="19"/>
        <v>9.1324200913242004E-3</v>
      </c>
      <c r="M83" s="34">
        <v>6</v>
      </c>
      <c r="N83" s="35">
        <f t="shared" si="20"/>
        <v>2.7397260273972601E-2</v>
      </c>
      <c r="O83" s="36">
        <f t="shared" si="21"/>
        <v>0.9769469812278031</v>
      </c>
    </row>
    <row r="84" spans="2:15" x14ac:dyDescent="0.25">
      <c r="B84" s="31" t="s">
        <v>89</v>
      </c>
      <c r="C84" s="34">
        <f t="shared" si="15"/>
        <v>397</v>
      </c>
      <c r="D84" s="34">
        <v>379</v>
      </c>
      <c r="E84" s="34">
        <v>372</v>
      </c>
      <c r="F84" s="35">
        <f t="shared" si="16"/>
        <v>0.98153034300791553</v>
      </c>
      <c r="G84" s="34">
        <v>358</v>
      </c>
      <c r="H84" s="35">
        <f t="shared" si="17"/>
        <v>0.9623655913978495</v>
      </c>
      <c r="I84" s="34">
        <v>14</v>
      </c>
      <c r="J84" s="35">
        <f t="shared" si="18"/>
        <v>3.7634408602150539E-2</v>
      </c>
      <c r="K84" s="34">
        <v>1</v>
      </c>
      <c r="L84" s="35">
        <f t="shared" si="19"/>
        <v>1.5831134564643801E-2</v>
      </c>
      <c r="M84" s="34">
        <v>18</v>
      </c>
      <c r="N84" s="35">
        <f t="shared" si="20"/>
        <v>4.7493403693931395E-2</v>
      </c>
      <c r="O84" s="36">
        <f t="shared" si="21"/>
        <v>0.97194796720288257</v>
      </c>
    </row>
    <row r="85" spans="2:15" x14ac:dyDescent="0.25">
      <c r="B85" s="31" t="s">
        <v>115</v>
      </c>
      <c r="C85" s="34">
        <f t="shared" si="15"/>
        <v>458</v>
      </c>
      <c r="D85" s="34">
        <v>441</v>
      </c>
      <c r="E85" s="34">
        <v>427</v>
      </c>
      <c r="F85" s="35">
        <f t="shared" si="16"/>
        <v>0.96825396825396826</v>
      </c>
      <c r="G85" s="34">
        <v>415</v>
      </c>
      <c r="H85" s="35">
        <f t="shared" si="17"/>
        <v>0.97189695550351285</v>
      </c>
      <c r="I85" s="34">
        <v>12</v>
      </c>
      <c r="J85" s="35">
        <f t="shared" si="18"/>
        <v>2.8103044496487119E-2</v>
      </c>
      <c r="K85" s="34">
        <v>0</v>
      </c>
      <c r="L85" s="35">
        <f t="shared" si="19"/>
        <v>3.1746031746031744E-2</v>
      </c>
      <c r="M85" s="34">
        <v>17</v>
      </c>
      <c r="N85" s="35">
        <f t="shared" si="20"/>
        <v>3.8548752834467119E-2</v>
      </c>
      <c r="O85" s="36">
        <f t="shared" si="21"/>
        <v>0.97007546187874061</v>
      </c>
    </row>
    <row r="86" spans="2:15" x14ac:dyDescent="0.25">
      <c r="B86" s="31" t="s">
        <v>156</v>
      </c>
      <c r="C86" s="34">
        <f t="shared" si="15"/>
        <v>283</v>
      </c>
      <c r="D86" s="34">
        <v>259</v>
      </c>
      <c r="E86" s="34">
        <v>256</v>
      </c>
      <c r="F86" s="35">
        <f t="shared" si="16"/>
        <v>0.98841698841698844</v>
      </c>
      <c r="G86" s="34">
        <v>242</v>
      </c>
      <c r="H86" s="35">
        <f t="shared" si="17"/>
        <v>0.9453125</v>
      </c>
      <c r="I86" s="34">
        <v>14</v>
      </c>
      <c r="J86" s="35">
        <f t="shared" si="18"/>
        <v>5.46875E-2</v>
      </c>
      <c r="K86" s="34">
        <v>2</v>
      </c>
      <c r="L86" s="35">
        <f t="shared" si="19"/>
        <v>3.8610038610038611E-3</v>
      </c>
      <c r="M86" s="34">
        <v>24</v>
      </c>
      <c r="N86" s="35">
        <f t="shared" si="20"/>
        <v>9.2664092664092659E-2</v>
      </c>
      <c r="O86" s="36">
        <f t="shared" si="21"/>
        <v>0.96686474420849422</v>
      </c>
    </row>
    <row r="87" spans="2:15" x14ac:dyDescent="0.25">
      <c r="B87" s="31" t="s">
        <v>82</v>
      </c>
      <c r="C87" s="34">
        <f t="shared" si="15"/>
        <v>188</v>
      </c>
      <c r="D87" s="34">
        <v>172</v>
      </c>
      <c r="E87" s="34">
        <v>170</v>
      </c>
      <c r="F87" s="35">
        <f t="shared" si="16"/>
        <v>0.98837209302325579</v>
      </c>
      <c r="G87" s="34">
        <v>160</v>
      </c>
      <c r="H87" s="35">
        <f t="shared" si="17"/>
        <v>0.94117647058823528</v>
      </c>
      <c r="I87" s="34">
        <v>10</v>
      </c>
      <c r="J87" s="35">
        <f t="shared" si="18"/>
        <v>5.8823529411764705E-2</v>
      </c>
      <c r="K87" s="34">
        <v>0</v>
      </c>
      <c r="L87" s="35">
        <f t="shared" si="19"/>
        <v>1.1627906976744186E-2</v>
      </c>
      <c r="M87" s="34">
        <v>16</v>
      </c>
      <c r="N87" s="35">
        <f t="shared" si="20"/>
        <v>9.3023255813953487E-2</v>
      </c>
      <c r="O87" s="36">
        <f t="shared" si="21"/>
        <v>0.96477428180574554</v>
      </c>
    </row>
    <row r="88" spans="2:15" x14ac:dyDescent="0.25">
      <c r="B88" s="31" t="s">
        <v>56</v>
      </c>
      <c r="C88" s="34">
        <f t="shared" si="15"/>
        <v>505</v>
      </c>
      <c r="D88" s="34">
        <v>483</v>
      </c>
      <c r="E88" s="34">
        <v>474</v>
      </c>
      <c r="F88" s="35">
        <f t="shared" si="16"/>
        <v>0.98136645962732916</v>
      </c>
      <c r="G88" s="34">
        <v>449</v>
      </c>
      <c r="H88" s="35">
        <f t="shared" si="17"/>
        <v>0.9472573839662447</v>
      </c>
      <c r="I88" s="34">
        <v>25</v>
      </c>
      <c r="J88" s="35">
        <f t="shared" si="18"/>
        <v>5.2742616033755275E-2</v>
      </c>
      <c r="K88" s="34">
        <v>1</v>
      </c>
      <c r="L88" s="35">
        <f t="shared" si="19"/>
        <v>1.6563146997929608E-2</v>
      </c>
      <c r="M88" s="34">
        <v>22</v>
      </c>
      <c r="N88" s="35">
        <f t="shared" si="20"/>
        <v>4.5548654244306416E-2</v>
      </c>
      <c r="O88" s="36">
        <f t="shared" si="21"/>
        <v>0.96431192179678693</v>
      </c>
    </row>
    <row r="89" spans="2:15" x14ac:dyDescent="0.25">
      <c r="B89" s="31" t="s">
        <v>68</v>
      </c>
      <c r="C89" s="34">
        <f t="shared" si="15"/>
        <v>269</v>
      </c>
      <c r="D89" s="34">
        <v>241</v>
      </c>
      <c r="E89" s="34">
        <v>237</v>
      </c>
      <c r="F89" s="35">
        <f t="shared" si="16"/>
        <v>0.98340248962655596</v>
      </c>
      <c r="G89" s="34">
        <v>224</v>
      </c>
      <c r="H89" s="35">
        <f t="shared" si="17"/>
        <v>0.94514767932489452</v>
      </c>
      <c r="I89" s="34">
        <v>13</v>
      </c>
      <c r="J89" s="35">
        <f t="shared" si="18"/>
        <v>5.4852320675105488E-2</v>
      </c>
      <c r="K89" s="34">
        <v>0</v>
      </c>
      <c r="L89" s="35">
        <f t="shared" si="19"/>
        <v>1.6597510373443983E-2</v>
      </c>
      <c r="M89" s="34">
        <v>28</v>
      </c>
      <c r="N89" s="35">
        <f t="shared" si="20"/>
        <v>0.11618257261410789</v>
      </c>
      <c r="O89" s="36">
        <f t="shared" si="21"/>
        <v>0.9642750844757253</v>
      </c>
    </row>
    <row r="90" spans="2:15" x14ac:dyDescent="0.25">
      <c r="B90" s="31" t="s">
        <v>173</v>
      </c>
      <c r="C90" s="34">
        <f t="shared" si="15"/>
        <v>165</v>
      </c>
      <c r="D90" s="34">
        <v>156</v>
      </c>
      <c r="E90" s="34">
        <v>151</v>
      </c>
      <c r="F90" s="35">
        <f t="shared" si="16"/>
        <v>0.96794871794871795</v>
      </c>
      <c r="G90" s="34">
        <v>145</v>
      </c>
      <c r="H90" s="35">
        <f t="shared" si="17"/>
        <v>0.96026490066225167</v>
      </c>
      <c r="I90" s="34">
        <v>6</v>
      </c>
      <c r="J90" s="35">
        <f t="shared" si="18"/>
        <v>3.9735099337748346E-2</v>
      </c>
      <c r="K90" s="34">
        <v>0</v>
      </c>
      <c r="L90" s="35">
        <f t="shared" si="19"/>
        <v>3.2051282051282048E-2</v>
      </c>
      <c r="M90" s="34">
        <v>9</v>
      </c>
      <c r="N90" s="35">
        <f t="shared" si="20"/>
        <v>5.7692307692307696E-2</v>
      </c>
      <c r="O90" s="36">
        <f t="shared" si="21"/>
        <v>0.96410680930548476</v>
      </c>
    </row>
    <row r="91" spans="2:15" x14ac:dyDescent="0.25">
      <c r="B91" s="31" t="s">
        <v>80</v>
      </c>
      <c r="C91" s="34">
        <f t="shared" si="15"/>
        <v>496</v>
      </c>
      <c r="D91" s="34">
        <v>458</v>
      </c>
      <c r="E91" s="34">
        <v>455</v>
      </c>
      <c r="F91" s="35">
        <f t="shared" si="16"/>
        <v>0.99344978165938869</v>
      </c>
      <c r="G91" s="34">
        <v>421</v>
      </c>
      <c r="H91" s="35">
        <f t="shared" si="17"/>
        <v>0.92527472527472532</v>
      </c>
      <c r="I91" s="34">
        <v>34</v>
      </c>
      <c r="J91" s="35">
        <f t="shared" si="18"/>
        <v>7.4725274725274723E-2</v>
      </c>
      <c r="K91" s="34">
        <v>0</v>
      </c>
      <c r="L91" s="35">
        <f t="shared" si="19"/>
        <v>6.5502183406113534E-3</v>
      </c>
      <c r="M91" s="34">
        <v>38</v>
      </c>
      <c r="N91" s="35">
        <f t="shared" si="20"/>
        <v>8.296943231441048E-2</v>
      </c>
      <c r="O91" s="36">
        <f t="shared" si="21"/>
        <v>0.95936225346705695</v>
      </c>
    </row>
    <row r="92" spans="2:15" x14ac:dyDescent="0.25">
      <c r="B92" s="31" t="s">
        <v>58</v>
      </c>
      <c r="C92" s="34">
        <f t="shared" si="15"/>
        <v>415</v>
      </c>
      <c r="D92" s="34">
        <v>378</v>
      </c>
      <c r="E92" s="34">
        <v>369</v>
      </c>
      <c r="F92" s="35">
        <f t="shared" si="16"/>
        <v>0.97619047619047616</v>
      </c>
      <c r="G92" s="34">
        <v>346</v>
      </c>
      <c r="H92" s="35">
        <f t="shared" si="17"/>
        <v>0.93766937669376693</v>
      </c>
      <c r="I92" s="34">
        <v>23</v>
      </c>
      <c r="J92" s="35">
        <f t="shared" si="18"/>
        <v>6.2330623306233061E-2</v>
      </c>
      <c r="K92" s="34">
        <v>2</v>
      </c>
      <c r="L92" s="35">
        <f t="shared" si="19"/>
        <v>1.8518518518518517E-2</v>
      </c>
      <c r="M92" s="34">
        <v>37</v>
      </c>
      <c r="N92" s="35">
        <f t="shared" si="20"/>
        <v>9.7883597883597878E-2</v>
      </c>
      <c r="O92" s="36">
        <f t="shared" si="21"/>
        <v>0.9569299264421216</v>
      </c>
    </row>
    <row r="93" spans="2:15" x14ac:dyDescent="0.25">
      <c r="B93" s="31" t="s">
        <v>160</v>
      </c>
      <c r="C93" s="34">
        <f t="shared" si="15"/>
        <v>345</v>
      </c>
      <c r="D93" s="34">
        <v>316</v>
      </c>
      <c r="E93" s="34">
        <v>308</v>
      </c>
      <c r="F93" s="35">
        <f t="shared" si="16"/>
        <v>0.97468354430379744</v>
      </c>
      <c r="G93" s="34">
        <v>288</v>
      </c>
      <c r="H93" s="35">
        <f t="shared" si="17"/>
        <v>0.93506493506493504</v>
      </c>
      <c r="I93" s="34">
        <v>20</v>
      </c>
      <c r="J93" s="35">
        <f t="shared" si="18"/>
        <v>6.4935064935064929E-2</v>
      </c>
      <c r="K93" s="34">
        <v>0</v>
      </c>
      <c r="L93" s="35">
        <f t="shared" si="19"/>
        <v>2.5316455696202531E-2</v>
      </c>
      <c r="M93" s="34">
        <v>29</v>
      </c>
      <c r="N93" s="35">
        <f t="shared" si="20"/>
        <v>9.1772151898734181E-2</v>
      </c>
      <c r="O93" s="36">
        <f t="shared" si="21"/>
        <v>0.95487423968436624</v>
      </c>
    </row>
    <row r="94" spans="2:15" x14ac:dyDescent="0.25">
      <c r="B94" s="31" t="s">
        <v>139</v>
      </c>
      <c r="C94" s="34">
        <f t="shared" si="15"/>
        <v>146</v>
      </c>
      <c r="D94" s="34">
        <v>143</v>
      </c>
      <c r="E94" s="34">
        <v>138</v>
      </c>
      <c r="F94" s="35">
        <f t="shared" si="16"/>
        <v>0.965034965034965</v>
      </c>
      <c r="G94" s="34">
        <v>130</v>
      </c>
      <c r="H94" s="35">
        <f t="shared" si="17"/>
        <v>0.94202898550724634</v>
      </c>
      <c r="I94" s="34">
        <v>8</v>
      </c>
      <c r="J94" s="35">
        <f t="shared" si="18"/>
        <v>5.7971014492753624E-2</v>
      </c>
      <c r="K94" s="34">
        <v>0</v>
      </c>
      <c r="L94" s="35">
        <f t="shared" si="19"/>
        <v>3.4965034965034968E-2</v>
      </c>
      <c r="M94" s="34">
        <v>3</v>
      </c>
      <c r="N94" s="35">
        <f t="shared" si="20"/>
        <v>2.097902097902098E-2</v>
      </c>
      <c r="O94" s="36">
        <f t="shared" si="21"/>
        <v>0.95353197527110567</v>
      </c>
    </row>
    <row r="95" spans="2:15" x14ac:dyDescent="0.25">
      <c r="B95" s="31" t="s">
        <v>66</v>
      </c>
      <c r="C95" s="34">
        <f t="shared" si="15"/>
        <v>473</v>
      </c>
      <c r="D95" s="34">
        <v>440</v>
      </c>
      <c r="E95" s="34">
        <v>431</v>
      </c>
      <c r="F95" s="35">
        <f t="shared" si="16"/>
        <v>0.9795454545454545</v>
      </c>
      <c r="G95" s="34">
        <v>398</v>
      </c>
      <c r="H95" s="35">
        <f t="shared" si="17"/>
        <v>0.92343387470997684</v>
      </c>
      <c r="I95" s="34">
        <v>33</v>
      </c>
      <c r="J95" s="35">
        <f t="shared" si="18"/>
        <v>7.6566125290023199E-2</v>
      </c>
      <c r="K95" s="34">
        <v>7</v>
      </c>
      <c r="L95" s="35">
        <f t="shared" si="19"/>
        <v>4.5454545454545452E-3</v>
      </c>
      <c r="M95" s="34">
        <v>33</v>
      </c>
      <c r="N95" s="35">
        <f t="shared" si="20"/>
        <v>7.4999999999999997E-2</v>
      </c>
      <c r="O95" s="36">
        <f t="shared" si="21"/>
        <v>0.95148966462771567</v>
      </c>
    </row>
    <row r="96" spans="2:15" x14ac:dyDescent="0.25">
      <c r="B96" s="31" t="s">
        <v>157</v>
      </c>
      <c r="C96" s="34">
        <f t="shared" si="15"/>
        <v>547</v>
      </c>
      <c r="D96" s="34">
        <v>493</v>
      </c>
      <c r="E96" s="34">
        <v>486</v>
      </c>
      <c r="F96" s="35">
        <f t="shared" si="16"/>
        <v>0.98580121703853951</v>
      </c>
      <c r="G96" s="34">
        <v>445</v>
      </c>
      <c r="H96" s="35">
        <f t="shared" si="17"/>
        <v>0.91563786008230452</v>
      </c>
      <c r="I96" s="34">
        <v>41</v>
      </c>
      <c r="J96" s="35">
        <f t="shared" si="18"/>
        <v>8.4362139917695478E-2</v>
      </c>
      <c r="K96" s="34">
        <v>1</v>
      </c>
      <c r="L96" s="35">
        <f t="shared" si="19"/>
        <v>1.2170385395537525E-2</v>
      </c>
      <c r="M96" s="34">
        <v>54</v>
      </c>
      <c r="N96" s="35">
        <f t="shared" si="20"/>
        <v>0.10953346855983773</v>
      </c>
      <c r="O96" s="36">
        <f t="shared" si="21"/>
        <v>0.95071953856042202</v>
      </c>
    </row>
    <row r="97" spans="2:15" x14ac:dyDescent="0.25">
      <c r="B97" s="31" t="s">
        <v>36</v>
      </c>
      <c r="C97" s="34">
        <f t="shared" si="15"/>
        <v>241</v>
      </c>
      <c r="D97" s="34">
        <v>231</v>
      </c>
      <c r="E97" s="34">
        <v>226</v>
      </c>
      <c r="F97" s="35">
        <f t="shared" si="16"/>
        <v>0.97835497835497831</v>
      </c>
      <c r="G97" s="34">
        <v>208</v>
      </c>
      <c r="H97" s="35">
        <f t="shared" si="17"/>
        <v>0.92035398230088494</v>
      </c>
      <c r="I97" s="34">
        <v>18</v>
      </c>
      <c r="J97" s="35">
        <f t="shared" si="18"/>
        <v>7.9646017699115043E-2</v>
      </c>
      <c r="K97" s="34">
        <v>0</v>
      </c>
      <c r="L97" s="35">
        <f t="shared" si="19"/>
        <v>2.1645021645021644E-2</v>
      </c>
      <c r="M97" s="34">
        <v>10</v>
      </c>
      <c r="N97" s="35">
        <f t="shared" si="20"/>
        <v>4.3290043290043288E-2</v>
      </c>
      <c r="O97" s="36">
        <f t="shared" si="21"/>
        <v>0.94935448032793168</v>
      </c>
    </row>
    <row r="98" spans="2:15" x14ac:dyDescent="0.25">
      <c r="B98" s="31" t="s">
        <v>65</v>
      </c>
      <c r="C98" s="34">
        <f t="shared" si="15"/>
        <v>219</v>
      </c>
      <c r="D98" s="34">
        <v>202</v>
      </c>
      <c r="E98" s="34">
        <v>195</v>
      </c>
      <c r="F98" s="35">
        <f t="shared" si="16"/>
        <v>0.96534653465346532</v>
      </c>
      <c r="G98" s="34">
        <v>182</v>
      </c>
      <c r="H98" s="35">
        <f t="shared" si="17"/>
        <v>0.93333333333333335</v>
      </c>
      <c r="I98" s="34">
        <v>13</v>
      </c>
      <c r="J98" s="35">
        <f t="shared" si="18"/>
        <v>6.6666666666666666E-2</v>
      </c>
      <c r="K98" s="34">
        <v>1</v>
      </c>
      <c r="L98" s="35">
        <f t="shared" si="19"/>
        <v>2.9702970297029702E-2</v>
      </c>
      <c r="M98" s="34">
        <v>17</v>
      </c>
      <c r="N98" s="35">
        <f t="shared" si="20"/>
        <v>8.4158415841584164E-2</v>
      </c>
      <c r="O98" s="36">
        <f t="shared" si="21"/>
        <v>0.94933993399339933</v>
      </c>
    </row>
    <row r="99" spans="2:15" x14ac:dyDescent="0.25">
      <c r="B99" s="31" t="s">
        <v>165</v>
      </c>
      <c r="C99" s="34">
        <f t="shared" si="15"/>
        <v>121</v>
      </c>
      <c r="D99" s="34">
        <v>107</v>
      </c>
      <c r="E99" s="34">
        <v>104</v>
      </c>
      <c r="F99" s="35">
        <f t="shared" si="16"/>
        <v>0.9719626168224299</v>
      </c>
      <c r="G99" s="34">
        <v>96</v>
      </c>
      <c r="H99" s="35">
        <f t="shared" si="17"/>
        <v>0.92307692307692313</v>
      </c>
      <c r="I99" s="34">
        <v>8</v>
      </c>
      <c r="J99" s="35">
        <f t="shared" si="18"/>
        <v>7.6923076923076927E-2</v>
      </c>
      <c r="K99" s="34">
        <v>2</v>
      </c>
      <c r="L99" s="35">
        <f t="shared" si="19"/>
        <v>9.3457943925233638E-3</v>
      </c>
      <c r="M99" s="34">
        <v>14</v>
      </c>
      <c r="N99" s="35">
        <f t="shared" si="20"/>
        <v>0.13084112149532709</v>
      </c>
      <c r="O99" s="36">
        <f t="shared" si="21"/>
        <v>0.94751976994967646</v>
      </c>
    </row>
    <row r="100" spans="2:15" x14ac:dyDescent="0.25">
      <c r="B100" s="31" t="s">
        <v>101</v>
      </c>
      <c r="C100" s="34">
        <f t="shared" si="15"/>
        <v>268</v>
      </c>
      <c r="D100" s="34">
        <v>241</v>
      </c>
      <c r="E100" s="34">
        <v>237</v>
      </c>
      <c r="F100" s="35">
        <f t="shared" si="16"/>
        <v>0.98340248962655596</v>
      </c>
      <c r="G100" s="34">
        <v>215</v>
      </c>
      <c r="H100" s="35">
        <f t="shared" si="17"/>
        <v>0.90717299578059074</v>
      </c>
      <c r="I100" s="34">
        <v>22</v>
      </c>
      <c r="J100" s="35">
        <f t="shared" si="18"/>
        <v>9.2827004219409287E-2</v>
      </c>
      <c r="K100" s="34">
        <v>0</v>
      </c>
      <c r="L100" s="35">
        <f t="shared" si="19"/>
        <v>1.6597510373443983E-2</v>
      </c>
      <c r="M100" s="34">
        <v>27</v>
      </c>
      <c r="N100" s="35">
        <f t="shared" si="20"/>
        <v>0.11203319502074689</v>
      </c>
      <c r="O100" s="36">
        <f t="shared" si="21"/>
        <v>0.9452877427035733</v>
      </c>
    </row>
    <row r="101" spans="2:15" x14ac:dyDescent="0.25">
      <c r="B101" s="31" t="s">
        <v>48</v>
      </c>
      <c r="C101" s="34">
        <f t="shared" si="15"/>
        <v>259</v>
      </c>
      <c r="D101" s="34">
        <v>248</v>
      </c>
      <c r="E101" s="34">
        <v>244</v>
      </c>
      <c r="F101" s="35">
        <f t="shared" si="16"/>
        <v>0.9838709677419355</v>
      </c>
      <c r="G101" s="34">
        <v>221</v>
      </c>
      <c r="H101" s="35">
        <f t="shared" si="17"/>
        <v>0.90573770491803274</v>
      </c>
      <c r="I101" s="34">
        <v>23</v>
      </c>
      <c r="J101" s="35">
        <f t="shared" si="18"/>
        <v>9.4262295081967207E-2</v>
      </c>
      <c r="K101" s="34">
        <v>0</v>
      </c>
      <c r="L101" s="35">
        <f t="shared" si="19"/>
        <v>1.6129032258064516E-2</v>
      </c>
      <c r="M101" s="34">
        <v>11</v>
      </c>
      <c r="N101" s="35">
        <f t="shared" si="20"/>
        <v>4.4354838709677422E-2</v>
      </c>
      <c r="O101" s="36">
        <f t="shared" si="21"/>
        <v>0.94480433632998406</v>
      </c>
    </row>
    <row r="102" spans="2:15" x14ac:dyDescent="0.25">
      <c r="B102" s="31" t="s">
        <v>172</v>
      </c>
      <c r="C102" s="34">
        <f t="shared" si="15"/>
        <v>148</v>
      </c>
      <c r="D102" s="34">
        <v>136</v>
      </c>
      <c r="E102" s="34">
        <v>133</v>
      </c>
      <c r="F102" s="35">
        <f t="shared" si="16"/>
        <v>0.9779411764705882</v>
      </c>
      <c r="G102" s="34">
        <v>121</v>
      </c>
      <c r="H102" s="35">
        <f t="shared" si="17"/>
        <v>0.90977443609022557</v>
      </c>
      <c r="I102" s="34">
        <v>12</v>
      </c>
      <c r="J102" s="35">
        <f t="shared" si="18"/>
        <v>9.0225563909774431E-2</v>
      </c>
      <c r="K102" s="34">
        <v>1</v>
      </c>
      <c r="L102" s="35">
        <f t="shared" si="19"/>
        <v>1.4705882352941176E-2</v>
      </c>
      <c r="M102" s="34">
        <v>12</v>
      </c>
      <c r="N102" s="35">
        <f t="shared" si="20"/>
        <v>8.8235294117647065E-2</v>
      </c>
      <c r="O102" s="36">
        <f t="shared" si="21"/>
        <v>0.94385780628040683</v>
      </c>
    </row>
    <row r="103" spans="2:15" x14ac:dyDescent="0.25">
      <c r="B103" s="31" t="s">
        <v>54</v>
      </c>
      <c r="C103" s="34">
        <f t="shared" si="15"/>
        <v>204</v>
      </c>
      <c r="D103" s="34">
        <v>174</v>
      </c>
      <c r="E103" s="34">
        <v>172</v>
      </c>
      <c r="F103" s="35">
        <f t="shared" si="16"/>
        <v>0.9885057471264368</v>
      </c>
      <c r="G103" s="34">
        <v>154</v>
      </c>
      <c r="H103" s="35">
        <f t="shared" si="17"/>
        <v>0.89534883720930236</v>
      </c>
      <c r="I103" s="34">
        <v>18</v>
      </c>
      <c r="J103" s="35">
        <f t="shared" si="18"/>
        <v>0.10465116279069768</v>
      </c>
      <c r="K103" s="34">
        <v>1</v>
      </c>
      <c r="L103" s="35">
        <f t="shared" si="19"/>
        <v>5.7471264367816091E-3</v>
      </c>
      <c r="M103" s="34">
        <v>30</v>
      </c>
      <c r="N103" s="35">
        <f t="shared" si="20"/>
        <v>0.17241379310344829</v>
      </c>
      <c r="O103" s="36">
        <f t="shared" si="21"/>
        <v>0.94192729216786963</v>
      </c>
    </row>
    <row r="104" spans="2:15" x14ac:dyDescent="0.25">
      <c r="B104" s="31" t="s">
        <v>102</v>
      </c>
      <c r="C104" s="34">
        <f t="shared" si="15"/>
        <v>371</v>
      </c>
      <c r="D104" s="34">
        <v>348</v>
      </c>
      <c r="E104" s="34">
        <v>340</v>
      </c>
      <c r="F104" s="35">
        <f t="shared" si="16"/>
        <v>0.97701149425287359</v>
      </c>
      <c r="G104" s="34">
        <v>308</v>
      </c>
      <c r="H104" s="35">
        <f t="shared" si="17"/>
        <v>0.90588235294117647</v>
      </c>
      <c r="I104" s="34">
        <v>32</v>
      </c>
      <c r="J104" s="35">
        <f t="shared" si="18"/>
        <v>9.4117647058823528E-2</v>
      </c>
      <c r="K104" s="34">
        <v>0</v>
      </c>
      <c r="L104" s="35">
        <f t="shared" si="19"/>
        <v>2.2988505747126436E-2</v>
      </c>
      <c r="M104" s="34">
        <v>23</v>
      </c>
      <c r="N104" s="35">
        <f t="shared" si="20"/>
        <v>6.6091954022988508E-2</v>
      </c>
      <c r="O104" s="36">
        <f t="shared" si="21"/>
        <v>0.94144692359702509</v>
      </c>
    </row>
    <row r="105" spans="2:15" x14ac:dyDescent="0.25">
      <c r="B105" s="31" t="s">
        <v>38</v>
      </c>
      <c r="C105" s="34">
        <f t="shared" si="15"/>
        <v>107</v>
      </c>
      <c r="D105" s="34">
        <v>103</v>
      </c>
      <c r="E105" s="34">
        <v>102</v>
      </c>
      <c r="F105" s="35">
        <f t="shared" si="16"/>
        <v>0.99029126213592233</v>
      </c>
      <c r="G105" s="34">
        <v>91</v>
      </c>
      <c r="H105" s="35">
        <f t="shared" si="17"/>
        <v>0.89215686274509809</v>
      </c>
      <c r="I105" s="34">
        <v>11</v>
      </c>
      <c r="J105" s="35">
        <f t="shared" si="18"/>
        <v>0.10784313725490197</v>
      </c>
      <c r="K105" s="34">
        <v>1</v>
      </c>
      <c r="L105" s="35">
        <f t="shared" si="19"/>
        <v>0</v>
      </c>
      <c r="M105" s="34">
        <v>4</v>
      </c>
      <c r="N105" s="35">
        <f t="shared" si="20"/>
        <v>3.8834951456310676E-2</v>
      </c>
      <c r="O105" s="36">
        <f t="shared" si="21"/>
        <v>0.94122406244051016</v>
      </c>
    </row>
    <row r="106" spans="2:15" x14ac:dyDescent="0.25">
      <c r="B106" s="31" t="s">
        <v>164</v>
      </c>
      <c r="C106" s="34">
        <f t="shared" si="15"/>
        <v>334</v>
      </c>
      <c r="D106" s="34">
        <v>310</v>
      </c>
      <c r="E106" s="34">
        <v>305</v>
      </c>
      <c r="F106" s="35">
        <f t="shared" si="16"/>
        <v>0.9838709677419355</v>
      </c>
      <c r="G106" s="34">
        <v>274</v>
      </c>
      <c r="H106" s="35">
        <f t="shared" si="17"/>
        <v>0.89836065573770496</v>
      </c>
      <c r="I106" s="34">
        <v>31</v>
      </c>
      <c r="J106" s="35">
        <f t="shared" si="18"/>
        <v>0.10163934426229508</v>
      </c>
      <c r="K106" s="34">
        <v>0</v>
      </c>
      <c r="L106" s="35">
        <f t="shared" si="19"/>
        <v>1.6129032258064516E-2</v>
      </c>
      <c r="M106" s="34">
        <v>24</v>
      </c>
      <c r="N106" s="35">
        <f t="shared" si="20"/>
        <v>7.7419354838709681E-2</v>
      </c>
      <c r="O106" s="36">
        <f t="shared" si="21"/>
        <v>0.94111581173982017</v>
      </c>
    </row>
    <row r="107" spans="2:15" x14ac:dyDescent="0.25">
      <c r="B107" s="31" t="s">
        <v>127</v>
      </c>
      <c r="C107" s="34">
        <f t="shared" si="15"/>
        <v>52</v>
      </c>
      <c r="D107" s="34">
        <v>43</v>
      </c>
      <c r="E107" s="34">
        <v>42</v>
      </c>
      <c r="F107" s="35">
        <f t="shared" si="16"/>
        <v>0.97674418604651159</v>
      </c>
      <c r="G107" s="34">
        <v>38</v>
      </c>
      <c r="H107" s="35">
        <f t="shared" si="17"/>
        <v>0.90476190476190477</v>
      </c>
      <c r="I107" s="34">
        <v>4</v>
      </c>
      <c r="J107" s="35">
        <f t="shared" si="18"/>
        <v>9.5238095238095233E-2</v>
      </c>
      <c r="K107" s="34">
        <v>0</v>
      </c>
      <c r="L107" s="35">
        <f t="shared" si="19"/>
        <v>2.3255813953488372E-2</v>
      </c>
      <c r="M107" s="34">
        <v>9</v>
      </c>
      <c r="N107" s="35">
        <f t="shared" si="20"/>
        <v>0.20930232558139536</v>
      </c>
      <c r="O107" s="36">
        <f t="shared" si="21"/>
        <v>0.94075304540420812</v>
      </c>
    </row>
    <row r="108" spans="2:15" x14ac:dyDescent="0.25">
      <c r="B108" s="31" t="s">
        <v>25</v>
      </c>
      <c r="C108" s="34">
        <f t="shared" si="15"/>
        <v>229</v>
      </c>
      <c r="D108" s="34">
        <v>222</v>
      </c>
      <c r="E108" s="34">
        <v>209</v>
      </c>
      <c r="F108" s="35">
        <f t="shared" si="16"/>
        <v>0.94144144144144148</v>
      </c>
      <c r="G108" s="34">
        <v>196</v>
      </c>
      <c r="H108" s="35">
        <f t="shared" si="17"/>
        <v>0.93779904306220097</v>
      </c>
      <c r="I108" s="34">
        <v>13</v>
      </c>
      <c r="J108" s="35">
        <f t="shared" si="18"/>
        <v>6.2200956937799042E-2</v>
      </c>
      <c r="K108" s="34">
        <v>1</v>
      </c>
      <c r="L108" s="35">
        <f t="shared" si="19"/>
        <v>5.4054054054054057E-2</v>
      </c>
      <c r="M108" s="34">
        <v>7</v>
      </c>
      <c r="N108" s="35">
        <f t="shared" si="20"/>
        <v>3.1531531531531529E-2</v>
      </c>
      <c r="O108" s="36">
        <f t="shared" si="21"/>
        <v>0.93962024225182117</v>
      </c>
    </row>
    <row r="109" spans="2:15" x14ac:dyDescent="0.25">
      <c r="B109" s="31" t="s">
        <v>64</v>
      </c>
      <c r="C109" s="34">
        <f t="shared" si="15"/>
        <v>542</v>
      </c>
      <c r="D109" s="34">
        <v>481</v>
      </c>
      <c r="E109" s="34">
        <v>462</v>
      </c>
      <c r="F109" s="35">
        <f t="shared" si="16"/>
        <v>0.96049896049896055</v>
      </c>
      <c r="G109" s="34">
        <v>424</v>
      </c>
      <c r="H109" s="35">
        <f t="shared" si="17"/>
        <v>0.91774891774891776</v>
      </c>
      <c r="I109" s="34">
        <v>38</v>
      </c>
      <c r="J109" s="35">
        <f t="shared" si="18"/>
        <v>8.2251082251082255E-2</v>
      </c>
      <c r="K109" s="34">
        <v>3</v>
      </c>
      <c r="L109" s="35">
        <f t="shared" si="19"/>
        <v>3.3264033264033266E-2</v>
      </c>
      <c r="M109" s="34">
        <v>61</v>
      </c>
      <c r="N109" s="35">
        <f t="shared" si="20"/>
        <v>0.12681912681912683</v>
      </c>
      <c r="O109" s="36">
        <f t="shared" si="21"/>
        <v>0.93912393912393921</v>
      </c>
    </row>
    <row r="110" spans="2:15" x14ac:dyDescent="0.25">
      <c r="B110" s="31" t="s">
        <v>118</v>
      </c>
      <c r="C110" s="34">
        <f t="shared" si="15"/>
        <v>242</v>
      </c>
      <c r="D110" s="34">
        <v>219</v>
      </c>
      <c r="E110" s="34">
        <v>209</v>
      </c>
      <c r="F110" s="35">
        <f t="shared" si="16"/>
        <v>0.954337899543379</v>
      </c>
      <c r="G110" s="34">
        <v>192</v>
      </c>
      <c r="H110" s="35">
        <f t="shared" si="17"/>
        <v>0.91866028708133973</v>
      </c>
      <c r="I110" s="34">
        <v>17</v>
      </c>
      <c r="J110" s="35">
        <f t="shared" si="18"/>
        <v>8.1339712918660281E-2</v>
      </c>
      <c r="K110" s="34">
        <v>0</v>
      </c>
      <c r="L110" s="35">
        <f t="shared" si="19"/>
        <v>4.5662100456621002E-2</v>
      </c>
      <c r="M110" s="34">
        <v>23</v>
      </c>
      <c r="N110" s="35">
        <f t="shared" si="20"/>
        <v>0.1050228310502283</v>
      </c>
      <c r="O110" s="36">
        <f t="shared" si="21"/>
        <v>0.93649909331235937</v>
      </c>
    </row>
    <row r="111" spans="2:15" x14ac:dyDescent="0.25">
      <c r="B111" s="31" t="s">
        <v>41</v>
      </c>
      <c r="C111" s="34">
        <f t="shared" ref="C111:C142" si="22">+D111+M111</f>
        <v>140</v>
      </c>
      <c r="D111" s="34">
        <v>118</v>
      </c>
      <c r="E111" s="34">
        <v>117</v>
      </c>
      <c r="F111" s="35">
        <f t="shared" ref="F111:F142" si="23">+E111/D111</f>
        <v>0.99152542372881358</v>
      </c>
      <c r="G111" s="34">
        <v>103</v>
      </c>
      <c r="H111" s="35">
        <f t="shared" ref="H111:H142" si="24">+G111/E111</f>
        <v>0.88034188034188032</v>
      </c>
      <c r="I111" s="34">
        <v>14</v>
      </c>
      <c r="J111" s="35">
        <f t="shared" ref="J111:J142" si="25">+I111/E111</f>
        <v>0.11965811965811966</v>
      </c>
      <c r="K111" s="34">
        <v>0</v>
      </c>
      <c r="L111" s="35">
        <f t="shared" ref="L111:L142" si="26">+(D111-E111-K111)/D111</f>
        <v>8.4745762711864406E-3</v>
      </c>
      <c r="M111" s="34">
        <v>22</v>
      </c>
      <c r="N111" s="35">
        <f t="shared" ref="N111:N142" si="27">+M111/D111</f>
        <v>0.1864406779661017</v>
      </c>
      <c r="O111" s="36">
        <f t="shared" ref="O111:O142" si="28">+(F111+H111)/2</f>
        <v>0.93593365203534695</v>
      </c>
    </row>
    <row r="112" spans="2:15" x14ac:dyDescent="0.25">
      <c r="B112" s="31" t="s">
        <v>134</v>
      </c>
      <c r="C112" s="34">
        <f t="shared" si="22"/>
        <v>42</v>
      </c>
      <c r="D112" s="34">
        <v>39</v>
      </c>
      <c r="E112" s="34">
        <v>36</v>
      </c>
      <c r="F112" s="35">
        <f t="shared" si="23"/>
        <v>0.92307692307692313</v>
      </c>
      <c r="G112" s="34">
        <v>34</v>
      </c>
      <c r="H112" s="35">
        <f t="shared" si="24"/>
        <v>0.94444444444444442</v>
      </c>
      <c r="I112" s="34">
        <v>2</v>
      </c>
      <c r="J112" s="35">
        <f t="shared" si="25"/>
        <v>5.5555555555555552E-2</v>
      </c>
      <c r="K112" s="34">
        <v>0</v>
      </c>
      <c r="L112" s="35">
        <f t="shared" si="26"/>
        <v>7.6923076923076927E-2</v>
      </c>
      <c r="M112" s="34">
        <v>3</v>
      </c>
      <c r="N112" s="35">
        <f t="shared" si="27"/>
        <v>7.6923076923076927E-2</v>
      </c>
      <c r="O112" s="36">
        <f t="shared" si="28"/>
        <v>0.93376068376068377</v>
      </c>
    </row>
    <row r="113" spans="2:15" x14ac:dyDescent="0.25">
      <c r="B113" s="31" t="s">
        <v>88</v>
      </c>
      <c r="C113" s="34">
        <f t="shared" si="22"/>
        <v>350</v>
      </c>
      <c r="D113" s="34">
        <v>339</v>
      </c>
      <c r="E113" s="34">
        <v>326</v>
      </c>
      <c r="F113" s="35">
        <f t="shared" si="23"/>
        <v>0.96165191740412981</v>
      </c>
      <c r="G113" s="34">
        <v>294</v>
      </c>
      <c r="H113" s="35">
        <f t="shared" si="24"/>
        <v>0.90184049079754602</v>
      </c>
      <c r="I113" s="34">
        <v>32</v>
      </c>
      <c r="J113" s="35">
        <f t="shared" si="25"/>
        <v>9.815950920245399E-2</v>
      </c>
      <c r="K113" s="34">
        <v>0</v>
      </c>
      <c r="L113" s="35">
        <f t="shared" si="26"/>
        <v>3.8348082595870206E-2</v>
      </c>
      <c r="M113" s="34">
        <v>11</v>
      </c>
      <c r="N113" s="35">
        <f t="shared" si="27"/>
        <v>3.2448377581120944E-2</v>
      </c>
      <c r="O113" s="36">
        <f t="shared" si="28"/>
        <v>0.93174620410083797</v>
      </c>
    </row>
    <row r="114" spans="2:15" x14ac:dyDescent="0.25">
      <c r="B114" s="31" t="s">
        <v>181</v>
      </c>
      <c r="C114" s="34">
        <f t="shared" si="22"/>
        <v>38</v>
      </c>
      <c r="D114" s="34">
        <v>37</v>
      </c>
      <c r="E114" s="34">
        <v>35</v>
      </c>
      <c r="F114" s="35">
        <f t="shared" si="23"/>
        <v>0.94594594594594594</v>
      </c>
      <c r="G114" s="34">
        <v>32</v>
      </c>
      <c r="H114" s="35">
        <f t="shared" si="24"/>
        <v>0.91428571428571426</v>
      </c>
      <c r="I114" s="34">
        <v>3</v>
      </c>
      <c r="J114" s="35">
        <f t="shared" si="25"/>
        <v>8.5714285714285715E-2</v>
      </c>
      <c r="K114" s="34">
        <v>0</v>
      </c>
      <c r="L114" s="35">
        <f t="shared" si="26"/>
        <v>5.4054054054054057E-2</v>
      </c>
      <c r="M114" s="34">
        <v>1</v>
      </c>
      <c r="N114" s="35">
        <f t="shared" si="27"/>
        <v>2.7027027027027029E-2</v>
      </c>
      <c r="O114" s="36">
        <f t="shared" si="28"/>
        <v>0.9301158301158301</v>
      </c>
    </row>
    <row r="115" spans="2:15" x14ac:dyDescent="0.25">
      <c r="B115" s="31" t="s">
        <v>163</v>
      </c>
      <c r="C115" s="34">
        <f t="shared" si="22"/>
        <v>364</v>
      </c>
      <c r="D115" s="34">
        <v>325</v>
      </c>
      <c r="E115" s="34">
        <v>321</v>
      </c>
      <c r="F115" s="35">
        <f t="shared" si="23"/>
        <v>0.98769230769230765</v>
      </c>
      <c r="G115" s="34">
        <v>280</v>
      </c>
      <c r="H115" s="35">
        <f t="shared" si="24"/>
        <v>0.87227414330218067</v>
      </c>
      <c r="I115" s="34">
        <v>41</v>
      </c>
      <c r="J115" s="35">
        <f t="shared" si="25"/>
        <v>0.1277258566978193</v>
      </c>
      <c r="K115" s="34">
        <v>0</v>
      </c>
      <c r="L115" s="35">
        <f t="shared" si="26"/>
        <v>1.2307692307692308E-2</v>
      </c>
      <c r="M115" s="34">
        <v>39</v>
      </c>
      <c r="N115" s="35">
        <f t="shared" si="27"/>
        <v>0.12</v>
      </c>
      <c r="O115" s="36">
        <f t="shared" si="28"/>
        <v>0.92998322549724421</v>
      </c>
    </row>
    <row r="116" spans="2:15" x14ac:dyDescent="0.25">
      <c r="B116" s="31" t="s">
        <v>110</v>
      </c>
      <c r="C116" s="34">
        <f t="shared" si="22"/>
        <v>480</v>
      </c>
      <c r="D116" s="34">
        <v>430</v>
      </c>
      <c r="E116" s="34">
        <v>419</v>
      </c>
      <c r="F116" s="35">
        <f t="shared" si="23"/>
        <v>0.97441860465116281</v>
      </c>
      <c r="G116" s="34">
        <v>371</v>
      </c>
      <c r="H116" s="35">
        <f t="shared" si="24"/>
        <v>0.88544152744630067</v>
      </c>
      <c r="I116" s="34">
        <v>48</v>
      </c>
      <c r="J116" s="35">
        <f t="shared" si="25"/>
        <v>0.11455847255369929</v>
      </c>
      <c r="K116" s="34">
        <v>2</v>
      </c>
      <c r="L116" s="35">
        <f t="shared" si="26"/>
        <v>2.0930232558139535E-2</v>
      </c>
      <c r="M116" s="34">
        <v>50</v>
      </c>
      <c r="N116" s="35">
        <f t="shared" si="27"/>
        <v>0.11627906976744186</v>
      </c>
      <c r="O116" s="36">
        <f t="shared" si="28"/>
        <v>0.92993006604873174</v>
      </c>
    </row>
    <row r="117" spans="2:15" x14ac:dyDescent="0.25">
      <c r="B117" s="31" t="s">
        <v>37</v>
      </c>
      <c r="C117" s="34">
        <f t="shared" si="22"/>
        <v>518</v>
      </c>
      <c r="D117" s="34">
        <v>486</v>
      </c>
      <c r="E117" s="34">
        <v>474</v>
      </c>
      <c r="F117" s="35">
        <f t="shared" si="23"/>
        <v>0.97530864197530864</v>
      </c>
      <c r="G117" s="34">
        <v>417</v>
      </c>
      <c r="H117" s="35">
        <f t="shared" si="24"/>
        <v>0.879746835443038</v>
      </c>
      <c r="I117" s="34">
        <v>57</v>
      </c>
      <c r="J117" s="35">
        <f t="shared" si="25"/>
        <v>0.12025316455696203</v>
      </c>
      <c r="K117" s="34">
        <v>0</v>
      </c>
      <c r="L117" s="35">
        <f t="shared" si="26"/>
        <v>2.4691358024691357E-2</v>
      </c>
      <c r="M117" s="34">
        <v>32</v>
      </c>
      <c r="N117" s="35">
        <f t="shared" si="27"/>
        <v>6.584362139917696E-2</v>
      </c>
      <c r="O117" s="36">
        <f t="shared" si="28"/>
        <v>0.92752773870917338</v>
      </c>
    </row>
    <row r="118" spans="2:15" x14ac:dyDescent="0.25">
      <c r="B118" s="31" t="s">
        <v>40</v>
      </c>
      <c r="C118" s="34">
        <f t="shared" si="22"/>
        <v>350</v>
      </c>
      <c r="D118" s="34">
        <v>319</v>
      </c>
      <c r="E118" s="34">
        <v>285</v>
      </c>
      <c r="F118" s="35">
        <f t="shared" si="23"/>
        <v>0.89341692789968652</v>
      </c>
      <c r="G118" s="34">
        <v>274</v>
      </c>
      <c r="H118" s="35">
        <f t="shared" si="24"/>
        <v>0.96140350877192982</v>
      </c>
      <c r="I118" s="34">
        <v>11</v>
      </c>
      <c r="J118" s="35">
        <f t="shared" si="25"/>
        <v>3.8596491228070177E-2</v>
      </c>
      <c r="K118" s="34">
        <v>0</v>
      </c>
      <c r="L118" s="35">
        <f t="shared" si="26"/>
        <v>0.10658307210031348</v>
      </c>
      <c r="M118" s="34">
        <v>31</v>
      </c>
      <c r="N118" s="35">
        <f t="shared" si="27"/>
        <v>9.7178683385579931E-2</v>
      </c>
      <c r="O118" s="36">
        <f t="shared" si="28"/>
        <v>0.92741021833580817</v>
      </c>
    </row>
    <row r="119" spans="2:15" x14ac:dyDescent="0.25">
      <c r="B119" s="31" t="s">
        <v>35</v>
      </c>
      <c r="C119" s="34">
        <f t="shared" si="22"/>
        <v>488</v>
      </c>
      <c r="D119" s="34">
        <v>427</v>
      </c>
      <c r="E119" s="34">
        <v>417</v>
      </c>
      <c r="F119" s="35">
        <f t="shared" si="23"/>
        <v>0.97658079625292737</v>
      </c>
      <c r="G119" s="34">
        <v>366</v>
      </c>
      <c r="H119" s="35">
        <f t="shared" si="24"/>
        <v>0.87769784172661869</v>
      </c>
      <c r="I119" s="34">
        <v>51</v>
      </c>
      <c r="J119" s="35">
        <f t="shared" si="25"/>
        <v>0.1223021582733813</v>
      </c>
      <c r="K119" s="34">
        <v>3</v>
      </c>
      <c r="L119" s="35">
        <f t="shared" si="26"/>
        <v>1.6393442622950821E-2</v>
      </c>
      <c r="M119" s="34">
        <v>61</v>
      </c>
      <c r="N119" s="35">
        <f t="shared" si="27"/>
        <v>0.14285714285714285</v>
      </c>
      <c r="O119" s="36">
        <f t="shared" si="28"/>
        <v>0.92713931898977298</v>
      </c>
    </row>
    <row r="120" spans="2:15" x14ac:dyDescent="0.25">
      <c r="B120" s="31" t="s">
        <v>171</v>
      </c>
      <c r="C120" s="34">
        <f t="shared" si="22"/>
        <v>300</v>
      </c>
      <c r="D120" s="34">
        <v>276</v>
      </c>
      <c r="E120" s="34">
        <v>274</v>
      </c>
      <c r="F120" s="35">
        <f t="shared" si="23"/>
        <v>0.99275362318840576</v>
      </c>
      <c r="G120" s="34">
        <v>236</v>
      </c>
      <c r="H120" s="35">
        <f t="shared" si="24"/>
        <v>0.86131386861313863</v>
      </c>
      <c r="I120" s="34">
        <v>38</v>
      </c>
      <c r="J120" s="35">
        <f t="shared" si="25"/>
        <v>0.13868613138686131</v>
      </c>
      <c r="K120" s="34">
        <v>0</v>
      </c>
      <c r="L120" s="35">
        <f t="shared" si="26"/>
        <v>7.246376811594203E-3</v>
      </c>
      <c r="M120" s="34">
        <v>24</v>
      </c>
      <c r="N120" s="35">
        <f t="shared" si="27"/>
        <v>8.6956521739130432E-2</v>
      </c>
      <c r="O120" s="36">
        <f t="shared" si="28"/>
        <v>0.92703374590077225</v>
      </c>
    </row>
    <row r="121" spans="2:15" x14ac:dyDescent="0.25">
      <c r="B121" s="31" t="s">
        <v>83</v>
      </c>
      <c r="C121" s="34">
        <f t="shared" si="22"/>
        <v>218</v>
      </c>
      <c r="D121" s="34">
        <v>209</v>
      </c>
      <c r="E121" s="34">
        <v>203</v>
      </c>
      <c r="F121" s="35">
        <f t="shared" si="23"/>
        <v>0.9712918660287081</v>
      </c>
      <c r="G121" s="34">
        <v>179</v>
      </c>
      <c r="H121" s="35">
        <f t="shared" si="24"/>
        <v>0.88177339901477836</v>
      </c>
      <c r="I121" s="34">
        <v>24</v>
      </c>
      <c r="J121" s="35">
        <f t="shared" si="25"/>
        <v>0.11822660098522167</v>
      </c>
      <c r="K121" s="34">
        <v>1</v>
      </c>
      <c r="L121" s="35">
        <f t="shared" si="26"/>
        <v>2.3923444976076555E-2</v>
      </c>
      <c r="M121" s="34">
        <v>9</v>
      </c>
      <c r="N121" s="35">
        <f t="shared" si="27"/>
        <v>4.3062200956937802E-2</v>
      </c>
      <c r="O121" s="36">
        <f t="shared" si="28"/>
        <v>0.92653263252174323</v>
      </c>
    </row>
    <row r="122" spans="2:15" x14ac:dyDescent="0.25">
      <c r="B122" s="31" t="s">
        <v>124</v>
      </c>
      <c r="C122" s="34">
        <f t="shared" si="22"/>
        <v>426</v>
      </c>
      <c r="D122" s="34">
        <v>402</v>
      </c>
      <c r="E122" s="34">
        <v>376</v>
      </c>
      <c r="F122" s="35">
        <f t="shared" si="23"/>
        <v>0.93532338308457708</v>
      </c>
      <c r="G122" s="34">
        <v>343</v>
      </c>
      <c r="H122" s="35">
        <f t="shared" si="24"/>
        <v>0.91223404255319152</v>
      </c>
      <c r="I122" s="34">
        <v>33</v>
      </c>
      <c r="J122" s="35">
        <f t="shared" si="25"/>
        <v>8.7765957446808512E-2</v>
      </c>
      <c r="K122" s="34">
        <v>1</v>
      </c>
      <c r="L122" s="35">
        <f t="shared" si="26"/>
        <v>6.2189054726368161E-2</v>
      </c>
      <c r="M122" s="34">
        <v>24</v>
      </c>
      <c r="N122" s="35">
        <f t="shared" si="27"/>
        <v>5.9701492537313432E-2</v>
      </c>
      <c r="O122" s="36">
        <f t="shared" si="28"/>
        <v>0.92377871281888435</v>
      </c>
    </row>
    <row r="123" spans="2:15" x14ac:dyDescent="0.25">
      <c r="B123" s="31" t="s">
        <v>42</v>
      </c>
      <c r="C123" s="34">
        <f t="shared" si="22"/>
        <v>300</v>
      </c>
      <c r="D123" s="34">
        <v>243</v>
      </c>
      <c r="E123" s="34">
        <v>238</v>
      </c>
      <c r="F123" s="35">
        <f t="shared" si="23"/>
        <v>0.97942386831275718</v>
      </c>
      <c r="G123" s="34">
        <v>205</v>
      </c>
      <c r="H123" s="35">
        <f t="shared" si="24"/>
        <v>0.8613445378151261</v>
      </c>
      <c r="I123" s="34">
        <v>33</v>
      </c>
      <c r="J123" s="35">
        <f t="shared" si="25"/>
        <v>0.13865546218487396</v>
      </c>
      <c r="K123" s="34">
        <v>0</v>
      </c>
      <c r="L123" s="35">
        <f t="shared" si="26"/>
        <v>2.0576131687242798E-2</v>
      </c>
      <c r="M123" s="34">
        <v>57</v>
      </c>
      <c r="N123" s="35">
        <f t="shared" si="27"/>
        <v>0.23456790123456789</v>
      </c>
      <c r="O123" s="36">
        <f t="shared" si="28"/>
        <v>0.92038420306394164</v>
      </c>
    </row>
    <row r="124" spans="2:15" x14ac:dyDescent="0.25">
      <c r="B124" s="31" t="s">
        <v>138</v>
      </c>
      <c r="C124" s="34">
        <f t="shared" si="22"/>
        <v>341</v>
      </c>
      <c r="D124" s="34">
        <v>312</v>
      </c>
      <c r="E124" s="34">
        <v>307</v>
      </c>
      <c r="F124" s="35">
        <f t="shared" si="23"/>
        <v>0.98397435897435892</v>
      </c>
      <c r="G124" s="34">
        <v>263</v>
      </c>
      <c r="H124" s="35">
        <f t="shared" si="24"/>
        <v>0.85667752442996747</v>
      </c>
      <c r="I124" s="34">
        <v>44</v>
      </c>
      <c r="J124" s="35">
        <f t="shared" si="25"/>
        <v>0.14332247557003258</v>
      </c>
      <c r="K124" s="34">
        <v>0</v>
      </c>
      <c r="L124" s="35">
        <f t="shared" si="26"/>
        <v>1.6025641025641024E-2</v>
      </c>
      <c r="M124" s="34">
        <v>29</v>
      </c>
      <c r="N124" s="35">
        <f t="shared" si="27"/>
        <v>9.2948717948717952E-2</v>
      </c>
      <c r="O124" s="36">
        <f t="shared" si="28"/>
        <v>0.9203259417021632</v>
      </c>
    </row>
    <row r="125" spans="2:15" x14ac:dyDescent="0.25">
      <c r="B125" s="31" t="s">
        <v>132</v>
      </c>
      <c r="C125" s="34">
        <f t="shared" si="22"/>
        <v>218</v>
      </c>
      <c r="D125" s="34">
        <v>208</v>
      </c>
      <c r="E125" s="34">
        <v>200</v>
      </c>
      <c r="F125" s="35">
        <f t="shared" si="23"/>
        <v>0.96153846153846156</v>
      </c>
      <c r="G125" s="34">
        <v>175</v>
      </c>
      <c r="H125" s="35">
        <f t="shared" si="24"/>
        <v>0.875</v>
      </c>
      <c r="I125" s="34">
        <v>25</v>
      </c>
      <c r="J125" s="35">
        <f t="shared" si="25"/>
        <v>0.125</v>
      </c>
      <c r="K125" s="34">
        <v>0</v>
      </c>
      <c r="L125" s="35">
        <f t="shared" si="26"/>
        <v>3.8461538461538464E-2</v>
      </c>
      <c r="M125" s="34">
        <v>10</v>
      </c>
      <c r="N125" s="35">
        <f t="shared" si="27"/>
        <v>4.807692307692308E-2</v>
      </c>
      <c r="O125" s="36">
        <f t="shared" si="28"/>
        <v>0.91826923076923084</v>
      </c>
    </row>
    <row r="126" spans="2:15" x14ac:dyDescent="0.25">
      <c r="B126" s="31" t="s">
        <v>63</v>
      </c>
      <c r="C126" s="34">
        <f t="shared" si="22"/>
        <v>520</v>
      </c>
      <c r="D126" s="34">
        <v>495</v>
      </c>
      <c r="E126" s="34">
        <v>451</v>
      </c>
      <c r="F126" s="35">
        <f t="shared" si="23"/>
        <v>0.91111111111111109</v>
      </c>
      <c r="G126" s="34">
        <v>415</v>
      </c>
      <c r="H126" s="35">
        <f t="shared" si="24"/>
        <v>0.92017738359201773</v>
      </c>
      <c r="I126" s="34">
        <v>36</v>
      </c>
      <c r="J126" s="35">
        <f t="shared" si="25"/>
        <v>7.9822616407982258E-2</v>
      </c>
      <c r="K126" s="34">
        <v>8</v>
      </c>
      <c r="L126" s="35">
        <f t="shared" si="26"/>
        <v>7.2727272727272724E-2</v>
      </c>
      <c r="M126" s="34">
        <v>25</v>
      </c>
      <c r="N126" s="35">
        <f t="shared" si="27"/>
        <v>5.0505050505050504E-2</v>
      </c>
      <c r="O126" s="36">
        <f t="shared" si="28"/>
        <v>0.91564424735156447</v>
      </c>
    </row>
    <row r="127" spans="2:15" x14ac:dyDescent="0.25">
      <c r="B127" s="31" t="s">
        <v>178</v>
      </c>
      <c r="C127" s="34">
        <f t="shared" si="22"/>
        <v>259</v>
      </c>
      <c r="D127" s="34">
        <v>237</v>
      </c>
      <c r="E127" s="34">
        <v>228</v>
      </c>
      <c r="F127" s="35">
        <f t="shared" si="23"/>
        <v>0.96202531645569622</v>
      </c>
      <c r="G127" s="34">
        <v>198</v>
      </c>
      <c r="H127" s="35">
        <f t="shared" si="24"/>
        <v>0.86842105263157898</v>
      </c>
      <c r="I127" s="34">
        <v>30</v>
      </c>
      <c r="J127" s="35">
        <f t="shared" si="25"/>
        <v>0.13157894736842105</v>
      </c>
      <c r="K127" s="34">
        <v>2</v>
      </c>
      <c r="L127" s="35">
        <f t="shared" si="26"/>
        <v>2.9535864978902954E-2</v>
      </c>
      <c r="M127" s="34">
        <v>22</v>
      </c>
      <c r="N127" s="35">
        <f t="shared" si="27"/>
        <v>9.2827004219409287E-2</v>
      </c>
      <c r="O127" s="36">
        <f t="shared" si="28"/>
        <v>0.9152231845436376</v>
      </c>
    </row>
    <row r="128" spans="2:15" x14ac:dyDescent="0.25">
      <c r="B128" s="31" t="s">
        <v>53</v>
      </c>
      <c r="C128" s="34">
        <f t="shared" si="22"/>
        <v>369</v>
      </c>
      <c r="D128" s="34">
        <v>333</v>
      </c>
      <c r="E128" s="34">
        <v>311</v>
      </c>
      <c r="F128" s="35">
        <f t="shared" si="23"/>
        <v>0.93393393393393398</v>
      </c>
      <c r="G128" s="34">
        <v>277</v>
      </c>
      <c r="H128" s="35">
        <f t="shared" si="24"/>
        <v>0.89067524115755625</v>
      </c>
      <c r="I128" s="34">
        <v>34</v>
      </c>
      <c r="J128" s="35">
        <f t="shared" si="25"/>
        <v>0.10932475884244373</v>
      </c>
      <c r="K128" s="34">
        <v>2</v>
      </c>
      <c r="L128" s="35">
        <f t="shared" si="26"/>
        <v>6.006006006006006E-2</v>
      </c>
      <c r="M128" s="34">
        <v>36</v>
      </c>
      <c r="N128" s="35">
        <f t="shared" si="27"/>
        <v>0.10810810810810811</v>
      </c>
      <c r="O128" s="36">
        <f t="shared" si="28"/>
        <v>0.91230458754574517</v>
      </c>
    </row>
    <row r="129" spans="2:15" x14ac:dyDescent="0.25">
      <c r="B129" s="31" t="s">
        <v>117</v>
      </c>
      <c r="C129" s="34">
        <f t="shared" si="22"/>
        <v>117</v>
      </c>
      <c r="D129" s="34">
        <v>107</v>
      </c>
      <c r="E129" s="34">
        <v>100</v>
      </c>
      <c r="F129" s="35">
        <f t="shared" si="23"/>
        <v>0.93457943925233644</v>
      </c>
      <c r="G129" s="34">
        <v>89</v>
      </c>
      <c r="H129" s="35">
        <f t="shared" si="24"/>
        <v>0.89</v>
      </c>
      <c r="I129" s="34">
        <v>11</v>
      </c>
      <c r="J129" s="35">
        <f t="shared" si="25"/>
        <v>0.11</v>
      </c>
      <c r="K129" s="34">
        <v>0</v>
      </c>
      <c r="L129" s="35">
        <f t="shared" si="26"/>
        <v>6.5420560747663545E-2</v>
      </c>
      <c r="M129" s="34">
        <v>10</v>
      </c>
      <c r="N129" s="35">
        <f t="shared" si="27"/>
        <v>9.3457943925233641E-2</v>
      </c>
      <c r="O129" s="36">
        <f t="shared" si="28"/>
        <v>0.91228971962616823</v>
      </c>
    </row>
    <row r="130" spans="2:15" x14ac:dyDescent="0.25">
      <c r="B130" s="31" t="s">
        <v>93</v>
      </c>
      <c r="C130" s="34">
        <f t="shared" si="22"/>
        <v>486</v>
      </c>
      <c r="D130" s="34">
        <v>430</v>
      </c>
      <c r="E130" s="34">
        <v>416</v>
      </c>
      <c r="F130" s="35">
        <f t="shared" si="23"/>
        <v>0.96744186046511627</v>
      </c>
      <c r="G130" s="34">
        <v>356</v>
      </c>
      <c r="H130" s="35">
        <f t="shared" si="24"/>
        <v>0.85576923076923073</v>
      </c>
      <c r="I130" s="34">
        <v>60</v>
      </c>
      <c r="J130" s="35">
        <f t="shared" si="25"/>
        <v>0.14423076923076922</v>
      </c>
      <c r="K130" s="34">
        <v>1</v>
      </c>
      <c r="L130" s="35">
        <f t="shared" si="26"/>
        <v>3.0232558139534883E-2</v>
      </c>
      <c r="M130" s="34">
        <v>56</v>
      </c>
      <c r="N130" s="35">
        <f t="shared" si="27"/>
        <v>0.13023255813953488</v>
      </c>
      <c r="O130" s="36">
        <f t="shared" si="28"/>
        <v>0.91160554561717344</v>
      </c>
    </row>
    <row r="131" spans="2:15" x14ac:dyDescent="0.25">
      <c r="B131" s="31" t="s">
        <v>74</v>
      </c>
      <c r="C131" s="34">
        <f t="shared" si="22"/>
        <v>524</v>
      </c>
      <c r="D131" s="34">
        <v>464</v>
      </c>
      <c r="E131" s="34">
        <v>445</v>
      </c>
      <c r="F131" s="35">
        <f t="shared" si="23"/>
        <v>0.95905172413793105</v>
      </c>
      <c r="G131" s="34">
        <v>384</v>
      </c>
      <c r="H131" s="35">
        <f t="shared" si="24"/>
        <v>0.86292134831460676</v>
      </c>
      <c r="I131" s="34">
        <v>61</v>
      </c>
      <c r="J131" s="35">
        <f t="shared" si="25"/>
        <v>0.13707865168539327</v>
      </c>
      <c r="K131" s="34">
        <v>0</v>
      </c>
      <c r="L131" s="35">
        <f t="shared" si="26"/>
        <v>4.0948275862068964E-2</v>
      </c>
      <c r="M131" s="34">
        <v>60</v>
      </c>
      <c r="N131" s="35">
        <f t="shared" si="27"/>
        <v>0.12931034482758622</v>
      </c>
      <c r="O131" s="36">
        <f t="shared" si="28"/>
        <v>0.91098653622626891</v>
      </c>
    </row>
    <row r="132" spans="2:15" x14ac:dyDescent="0.25">
      <c r="B132" s="31" t="s">
        <v>84</v>
      </c>
      <c r="C132" s="34">
        <f t="shared" si="22"/>
        <v>191</v>
      </c>
      <c r="D132" s="34">
        <v>165</v>
      </c>
      <c r="E132" s="34">
        <v>159</v>
      </c>
      <c r="F132" s="35">
        <f t="shared" si="23"/>
        <v>0.96363636363636362</v>
      </c>
      <c r="G132" s="34">
        <v>136</v>
      </c>
      <c r="H132" s="35">
        <f t="shared" si="24"/>
        <v>0.85534591194968557</v>
      </c>
      <c r="I132" s="34">
        <v>23</v>
      </c>
      <c r="J132" s="35">
        <f t="shared" si="25"/>
        <v>0.14465408805031446</v>
      </c>
      <c r="K132" s="34">
        <v>2</v>
      </c>
      <c r="L132" s="35">
        <f t="shared" si="26"/>
        <v>2.4242424242424242E-2</v>
      </c>
      <c r="M132" s="34">
        <v>26</v>
      </c>
      <c r="N132" s="35">
        <f t="shared" si="27"/>
        <v>0.15757575757575756</v>
      </c>
      <c r="O132" s="36">
        <f t="shared" si="28"/>
        <v>0.9094911377930246</v>
      </c>
    </row>
    <row r="133" spans="2:15" x14ac:dyDescent="0.25">
      <c r="B133" s="31" t="s">
        <v>180</v>
      </c>
      <c r="C133" s="34">
        <f t="shared" si="22"/>
        <v>148</v>
      </c>
      <c r="D133" s="34">
        <v>133</v>
      </c>
      <c r="E133" s="34">
        <v>131</v>
      </c>
      <c r="F133" s="35">
        <f t="shared" si="23"/>
        <v>0.98496240601503759</v>
      </c>
      <c r="G133" s="34">
        <v>109</v>
      </c>
      <c r="H133" s="35">
        <f t="shared" si="24"/>
        <v>0.83206106870229013</v>
      </c>
      <c r="I133" s="34">
        <v>22</v>
      </c>
      <c r="J133" s="35">
        <f t="shared" si="25"/>
        <v>0.16793893129770993</v>
      </c>
      <c r="K133" s="34">
        <v>0</v>
      </c>
      <c r="L133" s="35">
        <f t="shared" si="26"/>
        <v>1.5037593984962405E-2</v>
      </c>
      <c r="M133" s="34">
        <v>15</v>
      </c>
      <c r="N133" s="35">
        <f t="shared" si="27"/>
        <v>0.11278195488721804</v>
      </c>
      <c r="O133" s="36">
        <f t="shared" si="28"/>
        <v>0.90851173735866386</v>
      </c>
    </row>
    <row r="134" spans="2:15" x14ac:dyDescent="0.25">
      <c r="B134" s="31" t="s">
        <v>111</v>
      </c>
      <c r="C134" s="34">
        <f t="shared" si="22"/>
        <v>327</v>
      </c>
      <c r="D134" s="34">
        <v>285</v>
      </c>
      <c r="E134" s="34">
        <v>276</v>
      </c>
      <c r="F134" s="35">
        <f t="shared" si="23"/>
        <v>0.96842105263157896</v>
      </c>
      <c r="G134" s="34">
        <v>232</v>
      </c>
      <c r="H134" s="35">
        <f t="shared" si="24"/>
        <v>0.84057971014492749</v>
      </c>
      <c r="I134" s="34">
        <v>44</v>
      </c>
      <c r="J134" s="35">
        <f t="shared" si="25"/>
        <v>0.15942028985507245</v>
      </c>
      <c r="K134" s="34">
        <v>0</v>
      </c>
      <c r="L134" s="35">
        <f t="shared" si="26"/>
        <v>3.1578947368421054E-2</v>
      </c>
      <c r="M134" s="34">
        <v>42</v>
      </c>
      <c r="N134" s="35">
        <f t="shared" si="27"/>
        <v>0.14736842105263157</v>
      </c>
      <c r="O134" s="36">
        <f t="shared" si="28"/>
        <v>0.90450038138825328</v>
      </c>
    </row>
    <row r="135" spans="2:15" x14ac:dyDescent="0.25">
      <c r="B135" s="31" t="s">
        <v>128</v>
      </c>
      <c r="C135" s="34">
        <f t="shared" si="22"/>
        <v>328</v>
      </c>
      <c r="D135" s="34">
        <v>264</v>
      </c>
      <c r="E135" s="34">
        <v>248</v>
      </c>
      <c r="F135" s="35">
        <f t="shared" si="23"/>
        <v>0.93939393939393945</v>
      </c>
      <c r="G135" s="34">
        <v>212</v>
      </c>
      <c r="H135" s="35">
        <f t="shared" si="24"/>
        <v>0.85483870967741937</v>
      </c>
      <c r="I135" s="34">
        <v>36</v>
      </c>
      <c r="J135" s="35">
        <f t="shared" si="25"/>
        <v>0.14516129032258066</v>
      </c>
      <c r="K135" s="34">
        <v>3</v>
      </c>
      <c r="L135" s="35">
        <f t="shared" si="26"/>
        <v>4.924242424242424E-2</v>
      </c>
      <c r="M135" s="34">
        <v>64</v>
      </c>
      <c r="N135" s="35">
        <f t="shared" si="27"/>
        <v>0.24242424242424243</v>
      </c>
      <c r="O135" s="36">
        <f t="shared" si="28"/>
        <v>0.89711632453567947</v>
      </c>
    </row>
    <row r="136" spans="2:15" x14ac:dyDescent="0.25">
      <c r="B136" s="31" t="s">
        <v>150</v>
      </c>
      <c r="C136" s="34">
        <f t="shared" si="22"/>
        <v>58</v>
      </c>
      <c r="D136" s="34">
        <v>50</v>
      </c>
      <c r="E136" s="34">
        <v>47</v>
      </c>
      <c r="F136" s="35">
        <f t="shared" si="23"/>
        <v>0.94</v>
      </c>
      <c r="G136" s="34">
        <v>40</v>
      </c>
      <c r="H136" s="35">
        <f t="shared" si="24"/>
        <v>0.85106382978723405</v>
      </c>
      <c r="I136" s="34">
        <v>7</v>
      </c>
      <c r="J136" s="35">
        <f t="shared" si="25"/>
        <v>0.14893617021276595</v>
      </c>
      <c r="K136" s="34">
        <v>1</v>
      </c>
      <c r="L136" s="35">
        <f t="shared" si="26"/>
        <v>0.04</v>
      </c>
      <c r="M136" s="34">
        <v>8</v>
      </c>
      <c r="N136" s="35">
        <f t="shared" si="27"/>
        <v>0.16</v>
      </c>
      <c r="O136" s="36">
        <f t="shared" si="28"/>
        <v>0.89553191489361694</v>
      </c>
    </row>
    <row r="137" spans="2:15" x14ac:dyDescent="0.25">
      <c r="B137" s="31" t="s">
        <v>87</v>
      </c>
      <c r="C137" s="34">
        <f t="shared" si="22"/>
        <v>260</v>
      </c>
      <c r="D137" s="34">
        <v>241</v>
      </c>
      <c r="E137" s="34">
        <v>221</v>
      </c>
      <c r="F137" s="35">
        <f t="shared" si="23"/>
        <v>0.91701244813278004</v>
      </c>
      <c r="G137" s="34">
        <v>192</v>
      </c>
      <c r="H137" s="35">
        <f t="shared" si="24"/>
        <v>0.86877828054298645</v>
      </c>
      <c r="I137" s="34">
        <v>29</v>
      </c>
      <c r="J137" s="35">
        <f t="shared" si="25"/>
        <v>0.13122171945701358</v>
      </c>
      <c r="K137" s="34">
        <v>1</v>
      </c>
      <c r="L137" s="35">
        <f t="shared" si="26"/>
        <v>7.8838174273858919E-2</v>
      </c>
      <c r="M137" s="34">
        <v>19</v>
      </c>
      <c r="N137" s="35">
        <f t="shared" si="27"/>
        <v>7.8838174273858919E-2</v>
      </c>
      <c r="O137" s="36">
        <f t="shared" si="28"/>
        <v>0.89289536433788319</v>
      </c>
    </row>
    <row r="138" spans="2:15" x14ac:dyDescent="0.25">
      <c r="B138" s="31" t="s">
        <v>179</v>
      </c>
      <c r="C138" s="34">
        <f t="shared" si="22"/>
        <v>362</v>
      </c>
      <c r="D138" s="34">
        <v>311</v>
      </c>
      <c r="E138" s="34">
        <v>302</v>
      </c>
      <c r="F138" s="35">
        <f t="shared" si="23"/>
        <v>0.97106109324758838</v>
      </c>
      <c r="G138" s="34">
        <v>245</v>
      </c>
      <c r="H138" s="35">
        <f t="shared" si="24"/>
        <v>0.8112582781456954</v>
      </c>
      <c r="I138" s="34">
        <v>57</v>
      </c>
      <c r="J138" s="35">
        <f t="shared" si="25"/>
        <v>0.18874172185430463</v>
      </c>
      <c r="K138" s="34">
        <v>0</v>
      </c>
      <c r="L138" s="35">
        <f t="shared" si="26"/>
        <v>2.8938906752411574E-2</v>
      </c>
      <c r="M138" s="34">
        <v>51</v>
      </c>
      <c r="N138" s="35">
        <f t="shared" si="27"/>
        <v>0.16398713826366559</v>
      </c>
      <c r="O138" s="36">
        <f t="shared" si="28"/>
        <v>0.89115968569664195</v>
      </c>
    </row>
    <row r="139" spans="2:15" x14ac:dyDescent="0.25">
      <c r="B139" s="31" t="s">
        <v>162</v>
      </c>
      <c r="C139" s="34">
        <f t="shared" si="22"/>
        <v>268</v>
      </c>
      <c r="D139" s="34">
        <v>234</v>
      </c>
      <c r="E139" s="34">
        <v>229</v>
      </c>
      <c r="F139" s="35">
        <f t="shared" si="23"/>
        <v>0.9786324786324786</v>
      </c>
      <c r="G139" s="34">
        <v>184</v>
      </c>
      <c r="H139" s="35">
        <f t="shared" si="24"/>
        <v>0.80349344978165937</v>
      </c>
      <c r="I139" s="34">
        <v>45</v>
      </c>
      <c r="J139" s="35">
        <f t="shared" si="25"/>
        <v>0.1965065502183406</v>
      </c>
      <c r="K139" s="34">
        <v>0</v>
      </c>
      <c r="L139" s="35">
        <f t="shared" si="26"/>
        <v>2.1367521367521368E-2</v>
      </c>
      <c r="M139" s="34">
        <v>34</v>
      </c>
      <c r="N139" s="35">
        <f t="shared" si="27"/>
        <v>0.14529914529914531</v>
      </c>
      <c r="O139" s="36">
        <f t="shared" si="28"/>
        <v>0.89106296420706899</v>
      </c>
    </row>
    <row r="140" spans="2:15" x14ac:dyDescent="0.25">
      <c r="B140" s="31" t="s">
        <v>44</v>
      </c>
      <c r="C140" s="34">
        <f t="shared" si="22"/>
        <v>302</v>
      </c>
      <c r="D140" s="34">
        <v>276</v>
      </c>
      <c r="E140" s="34">
        <v>258</v>
      </c>
      <c r="F140" s="35">
        <f t="shared" si="23"/>
        <v>0.93478260869565222</v>
      </c>
      <c r="G140" s="34">
        <v>218</v>
      </c>
      <c r="H140" s="35">
        <f t="shared" si="24"/>
        <v>0.84496124031007747</v>
      </c>
      <c r="I140" s="34">
        <v>40</v>
      </c>
      <c r="J140" s="35">
        <f t="shared" si="25"/>
        <v>0.15503875968992248</v>
      </c>
      <c r="K140" s="34">
        <v>2</v>
      </c>
      <c r="L140" s="35">
        <f t="shared" si="26"/>
        <v>5.7971014492753624E-2</v>
      </c>
      <c r="M140" s="34">
        <v>26</v>
      </c>
      <c r="N140" s="35">
        <f t="shared" si="27"/>
        <v>9.420289855072464E-2</v>
      </c>
      <c r="O140" s="36">
        <f t="shared" si="28"/>
        <v>0.88987192450286479</v>
      </c>
    </row>
    <row r="141" spans="2:15" x14ac:dyDescent="0.25">
      <c r="B141" s="31" t="s">
        <v>136</v>
      </c>
      <c r="C141" s="34">
        <f t="shared" si="22"/>
        <v>521</v>
      </c>
      <c r="D141" s="34">
        <v>473</v>
      </c>
      <c r="E141" s="34">
        <v>454</v>
      </c>
      <c r="F141" s="35">
        <f t="shared" si="23"/>
        <v>0.95983086680761098</v>
      </c>
      <c r="G141" s="34">
        <v>371</v>
      </c>
      <c r="H141" s="35">
        <f t="shared" si="24"/>
        <v>0.81718061674008813</v>
      </c>
      <c r="I141" s="34">
        <v>83</v>
      </c>
      <c r="J141" s="35">
        <f t="shared" si="25"/>
        <v>0.1828193832599119</v>
      </c>
      <c r="K141" s="34">
        <v>2</v>
      </c>
      <c r="L141" s="35">
        <f t="shared" si="26"/>
        <v>3.5940803382663845E-2</v>
      </c>
      <c r="M141" s="34">
        <v>48</v>
      </c>
      <c r="N141" s="35">
        <f t="shared" si="27"/>
        <v>0.1014799154334038</v>
      </c>
      <c r="O141" s="36">
        <f t="shared" si="28"/>
        <v>0.88850574177384956</v>
      </c>
    </row>
    <row r="142" spans="2:15" x14ac:dyDescent="0.25">
      <c r="B142" s="31" t="s">
        <v>43</v>
      </c>
      <c r="C142" s="34">
        <f t="shared" si="22"/>
        <v>132</v>
      </c>
      <c r="D142" s="34">
        <v>120</v>
      </c>
      <c r="E142" s="34">
        <v>112</v>
      </c>
      <c r="F142" s="35">
        <f t="shared" si="23"/>
        <v>0.93333333333333335</v>
      </c>
      <c r="G142" s="34">
        <v>94</v>
      </c>
      <c r="H142" s="35">
        <f t="shared" si="24"/>
        <v>0.8392857142857143</v>
      </c>
      <c r="I142" s="34">
        <v>18</v>
      </c>
      <c r="J142" s="35">
        <f t="shared" si="25"/>
        <v>0.16071428571428573</v>
      </c>
      <c r="K142" s="34">
        <v>1</v>
      </c>
      <c r="L142" s="35">
        <f t="shared" si="26"/>
        <v>5.8333333333333334E-2</v>
      </c>
      <c r="M142" s="34">
        <v>12</v>
      </c>
      <c r="N142" s="35">
        <f t="shared" si="27"/>
        <v>0.1</v>
      </c>
      <c r="O142" s="36">
        <f t="shared" si="28"/>
        <v>0.88630952380952377</v>
      </c>
    </row>
    <row r="143" spans="2:15" x14ac:dyDescent="0.25">
      <c r="B143" s="31" t="s">
        <v>105</v>
      </c>
      <c r="C143" s="34">
        <f t="shared" ref="C143:C164" si="29">+D143+M143</f>
        <v>133</v>
      </c>
      <c r="D143" s="34">
        <v>104</v>
      </c>
      <c r="E143" s="34">
        <v>100</v>
      </c>
      <c r="F143" s="35">
        <f t="shared" ref="F143:F164" si="30">+E143/D143</f>
        <v>0.96153846153846156</v>
      </c>
      <c r="G143" s="34">
        <v>81</v>
      </c>
      <c r="H143" s="35">
        <f t="shared" ref="H143:H164" si="31">+G143/E143</f>
        <v>0.81</v>
      </c>
      <c r="I143" s="34">
        <v>19</v>
      </c>
      <c r="J143" s="35">
        <f t="shared" ref="J143:J164" si="32">+I143/E143</f>
        <v>0.19</v>
      </c>
      <c r="K143" s="34">
        <v>0</v>
      </c>
      <c r="L143" s="35">
        <f t="shared" ref="L143:L164" si="33">+(D143-E143-K143)/D143</f>
        <v>3.8461538461538464E-2</v>
      </c>
      <c r="M143" s="34">
        <v>29</v>
      </c>
      <c r="N143" s="35">
        <f t="shared" ref="N143:N164" si="34">+M143/D143</f>
        <v>0.27884615384615385</v>
      </c>
      <c r="O143" s="36">
        <f t="shared" ref="O143:O164" si="35">+(F143+H143)/2</f>
        <v>0.88576923076923086</v>
      </c>
    </row>
    <row r="144" spans="2:15" x14ac:dyDescent="0.25">
      <c r="B144" s="31" t="s">
        <v>154</v>
      </c>
      <c r="C144" s="34">
        <f t="shared" si="29"/>
        <v>481</v>
      </c>
      <c r="D144" s="34">
        <v>410</v>
      </c>
      <c r="E144" s="34">
        <v>400</v>
      </c>
      <c r="F144" s="35">
        <f t="shared" si="30"/>
        <v>0.97560975609756095</v>
      </c>
      <c r="G144" s="34">
        <v>318</v>
      </c>
      <c r="H144" s="35">
        <f t="shared" si="31"/>
        <v>0.79500000000000004</v>
      </c>
      <c r="I144" s="34">
        <v>82</v>
      </c>
      <c r="J144" s="35">
        <f t="shared" si="32"/>
        <v>0.20499999999999999</v>
      </c>
      <c r="K144" s="34">
        <v>1</v>
      </c>
      <c r="L144" s="35">
        <f t="shared" si="33"/>
        <v>2.1951219512195121E-2</v>
      </c>
      <c r="M144" s="34">
        <v>71</v>
      </c>
      <c r="N144" s="35">
        <f t="shared" si="34"/>
        <v>0.17317073170731706</v>
      </c>
      <c r="O144" s="36">
        <f t="shared" si="35"/>
        <v>0.88530487804878044</v>
      </c>
    </row>
    <row r="145" spans="2:15" x14ac:dyDescent="0.25">
      <c r="B145" s="31" t="s">
        <v>107</v>
      </c>
      <c r="C145" s="34">
        <f t="shared" si="29"/>
        <v>442</v>
      </c>
      <c r="D145" s="34">
        <v>375</v>
      </c>
      <c r="E145" s="34">
        <v>361</v>
      </c>
      <c r="F145" s="35">
        <f t="shared" si="30"/>
        <v>0.96266666666666667</v>
      </c>
      <c r="G145" s="34">
        <v>290</v>
      </c>
      <c r="H145" s="35">
        <f t="shared" si="31"/>
        <v>0.80332409972299168</v>
      </c>
      <c r="I145" s="34">
        <v>71</v>
      </c>
      <c r="J145" s="35">
        <f t="shared" si="32"/>
        <v>0.19667590027700832</v>
      </c>
      <c r="K145" s="34">
        <v>0</v>
      </c>
      <c r="L145" s="35">
        <f t="shared" si="33"/>
        <v>3.7333333333333336E-2</v>
      </c>
      <c r="M145" s="34">
        <v>67</v>
      </c>
      <c r="N145" s="35">
        <f t="shared" si="34"/>
        <v>0.17866666666666667</v>
      </c>
      <c r="O145" s="36">
        <f t="shared" si="35"/>
        <v>0.88299538319482918</v>
      </c>
    </row>
    <row r="146" spans="2:15" x14ac:dyDescent="0.25">
      <c r="B146" s="31" t="s">
        <v>60</v>
      </c>
      <c r="C146" s="34">
        <f t="shared" si="29"/>
        <v>315</v>
      </c>
      <c r="D146" s="34">
        <v>293</v>
      </c>
      <c r="E146" s="34">
        <v>284</v>
      </c>
      <c r="F146" s="35">
        <f t="shared" si="30"/>
        <v>0.96928327645051193</v>
      </c>
      <c r="G146" s="34">
        <v>226</v>
      </c>
      <c r="H146" s="35">
        <f t="shared" si="31"/>
        <v>0.79577464788732399</v>
      </c>
      <c r="I146" s="34">
        <v>58</v>
      </c>
      <c r="J146" s="35">
        <f t="shared" si="32"/>
        <v>0.20422535211267606</v>
      </c>
      <c r="K146" s="34">
        <v>1</v>
      </c>
      <c r="L146" s="35">
        <f t="shared" si="33"/>
        <v>2.7303754266211604E-2</v>
      </c>
      <c r="M146" s="34">
        <v>22</v>
      </c>
      <c r="N146" s="35">
        <f t="shared" si="34"/>
        <v>7.5085324232081918E-2</v>
      </c>
      <c r="O146" s="36">
        <f t="shared" si="35"/>
        <v>0.88252896216891796</v>
      </c>
    </row>
    <row r="147" spans="2:15" x14ac:dyDescent="0.25">
      <c r="B147" s="31" t="s">
        <v>50</v>
      </c>
      <c r="C147" s="34">
        <f t="shared" si="29"/>
        <v>343</v>
      </c>
      <c r="D147" s="34">
        <v>307</v>
      </c>
      <c r="E147" s="34">
        <v>263</v>
      </c>
      <c r="F147" s="35">
        <f t="shared" si="30"/>
        <v>0.85667752442996747</v>
      </c>
      <c r="G147" s="34">
        <v>237</v>
      </c>
      <c r="H147" s="35">
        <f t="shared" si="31"/>
        <v>0.90114068441064643</v>
      </c>
      <c r="I147" s="34">
        <v>26</v>
      </c>
      <c r="J147" s="35">
        <f t="shared" si="32"/>
        <v>9.8859315589353611E-2</v>
      </c>
      <c r="K147" s="34">
        <v>0</v>
      </c>
      <c r="L147" s="35">
        <f t="shared" si="33"/>
        <v>0.14332247557003258</v>
      </c>
      <c r="M147" s="34">
        <v>36</v>
      </c>
      <c r="N147" s="35">
        <f t="shared" si="34"/>
        <v>0.11726384364820847</v>
      </c>
      <c r="O147" s="36">
        <f t="shared" si="35"/>
        <v>0.87890910442030701</v>
      </c>
    </row>
    <row r="148" spans="2:15" x14ac:dyDescent="0.25">
      <c r="B148" s="31" t="s">
        <v>113</v>
      </c>
      <c r="C148" s="34">
        <f t="shared" si="29"/>
        <v>259</v>
      </c>
      <c r="D148" s="34">
        <v>240</v>
      </c>
      <c r="E148" s="34">
        <v>213</v>
      </c>
      <c r="F148" s="35">
        <f t="shared" si="30"/>
        <v>0.88749999999999996</v>
      </c>
      <c r="G148" s="34">
        <v>185</v>
      </c>
      <c r="H148" s="35">
        <f t="shared" si="31"/>
        <v>0.86854460093896713</v>
      </c>
      <c r="I148" s="34">
        <v>28</v>
      </c>
      <c r="J148" s="35">
        <f t="shared" si="32"/>
        <v>0.13145539906103287</v>
      </c>
      <c r="K148" s="34">
        <v>0</v>
      </c>
      <c r="L148" s="35">
        <f t="shared" si="33"/>
        <v>0.1125</v>
      </c>
      <c r="M148" s="34">
        <v>19</v>
      </c>
      <c r="N148" s="35">
        <f t="shared" si="34"/>
        <v>7.9166666666666663E-2</v>
      </c>
      <c r="O148" s="36">
        <f t="shared" si="35"/>
        <v>0.8780223004694836</v>
      </c>
    </row>
    <row r="149" spans="2:15" x14ac:dyDescent="0.25">
      <c r="B149" s="31" t="s">
        <v>114</v>
      </c>
      <c r="C149" s="34">
        <f t="shared" si="29"/>
        <v>445</v>
      </c>
      <c r="D149" s="34">
        <v>369</v>
      </c>
      <c r="E149" s="34">
        <v>357</v>
      </c>
      <c r="F149" s="35">
        <f t="shared" si="30"/>
        <v>0.96747967479674801</v>
      </c>
      <c r="G149" s="34">
        <v>281</v>
      </c>
      <c r="H149" s="35">
        <f t="shared" si="31"/>
        <v>0.78711484593837533</v>
      </c>
      <c r="I149" s="34">
        <v>76</v>
      </c>
      <c r="J149" s="35">
        <f t="shared" si="32"/>
        <v>0.21288515406162464</v>
      </c>
      <c r="K149" s="34">
        <v>0</v>
      </c>
      <c r="L149" s="35">
        <f t="shared" si="33"/>
        <v>3.2520325203252036E-2</v>
      </c>
      <c r="M149" s="34">
        <v>76</v>
      </c>
      <c r="N149" s="35">
        <f t="shared" si="34"/>
        <v>0.20596205962059622</v>
      </c>
      <c r="O149" s="36">
        <f t="shared" si="35"/>
        <v>0.87729726036756173</v>
      </c>
    </row>
    <row r="150" spans="2:15" x14ac:dyDescent="0.25">
      <c r="B150" s="31" t="s">
        <v>104</v>
      </c>
      <c r="C150" s="34">
        <f t="shared" si="29"/>
        <v>487</v>
      </c>
      <c r="D150" s="34">
        <v>424</v>
      </c>
      <c r="E150" s="34">
        <v>403</v>
      </c>
      <c r="F150" s="35">
        <f t="shared" si="30"/>
        <v>0.95047169811320753</v>
      </c>
      <c r="G150" s="34">
        <v>323</v>
      </c>
      <c r="H150" s="35">
        <f t="shared" si="31"/>
        <v>0.80148883374689828</v>
      </c>
      <c r="I150" s="34">
        <v>80</v>
      </c>
      <c r="J150" s="35">
        <f t="shared" si="32"/>
        <v>0.19851116625310175</v>
      </c>
      <c r="K150" s="34">
        <v>0</v>
      </c>
      <c r="L150" s="35">
        <f t="shared" si="33"/>
        <v>4.9528301886792456E-2</v>
      </c>
      <c r="M150" s="34">
        <v>63</v>
      </c>
      <c r="N150" s="35">
        <f t="shared" si="34"/>
        <v>0.14858490566037735</v>
      </c>
      <c r="O150" s="36">
        <f t="shared" si="35"/>
        <v>0.87598026593005285</v>
      </c>
    </row>
    <row r="151" spans="2:15" x14ac:dyDescent="0.25">
      <c r="B151" s="31" t="s">
        <v>183</v>
      </c>
      <c r="C151" s="34">
        <f t="shared" si="29"/>
        <v>194</v>
      </c>
      <c r="D151" s="34">
        <v>167</v>
      </c>
      <c r="E151" s="34">
        <v>160</v>
      </c>
      <c r="F151" s="35">
        <f t="shared" si="30"/>
        <v>0.95808383233532934</v>
      </c>
      <c r="G151" s="34">
        <v>127</v>
      </c>
      <c r="H151" s="35">
        <f t="shared" si="31"/>
        <v>0.79374999999999996</v>
      </c>
      <c r="I151" s="34">
        <v>33</v>
      </c>
      <c r="J151" s="35">
        <f t="shared" si="32"/>
        <v>0.20624999999999999</v>
      </c>
      <c r="K151" s="34">
        <v>1</v>
      </c>
      <c r="L151" s="35">
        <f t="shared" si="33"/>
        <v>3.5928143712574849E-2</v>
      </c>
      <c r="M151" s="34">
        <v>27</v>
      </c>
      <c r="N151" s="35">
        <f t="shared" si="34"/>
        <v>0.16167664670658682</v>
      </c>
      <c r="O151" s="36">
        <f t="shared" si="35"/>
        <v>0.87591691616766465</v>
      </c>
    </row>
    <row r="152" spans="2:15" x14ac:dyDescent="0.25">
      <c r="B152" s="31" t="s">
        <v>143</v>
      </c>
      <c r="C152" s="34">
        <f t="shared" si="29"/>
        <v>249</v>
      </c>
      <c r="D152" s="34">
        <v>193</v>
      </c>
      <c r="E152" s="34">
        <v>185</v>
      </c>
      <c r="F152" s="35">
        <f t="shared" si="30"/>
        <v>0.95854922279792742</v>
      </c>
      <c r="G152" s="34">
        <v>145</v>
      </c>
      <c r="H152" s="35">
        <f t="shared" si="31"/>
        <v>0.78378378378378377</v>
      </c>
      <c r="I152" s="34">
        <v>40</v>
      </c>
      <c r="J152" s="35">
        <f t="shared" si="32"/>
        <v>0.21621621621621623</v>
      </c>
      <c r="K152" s="34">
        <v>0</v>
      </c>
      <c r="L152" s="35">
        <f t="shared" si="33"/>
        <v>4.145077720207254E-2</v>
      </c>
      <c r="M152" s="34">
        <v>56</v>
      </c>
      <c r="N152" s="35">
        <f t="shared" si="34"/>
        <v>0.29015544041450775</v>
      </c>
      <c r="O152" s="36">
        <f t="shared" si="35"/>
        <v>0.87116650329085554</v>
      </c>
    </row>
    <row r="153" spans="2:15" x14ac:dyDescent="0.25">
      <c r="B153" s="31" t="s">
        <v>81</v>
      </c>
      <c r="C153" s="34">
        <f t="shared" si="29"/>
        <v>146</v>
      </c>
      <c r="D153" s="34">
        <v>122</v>
      </c>
      <c r="E153" s="34">
        <v>117</v>
      </c>
      <c r="F153" s="35">
        <f t="shared" si="30"/>
        <v>0.95901639344262291</v>
      </c>
      <c r="G153" s="34">
        <v>91</v>
      </c>
      <c r="H153" s="35">
        <f t="shared" si="31"/>
        <v>0.77777777777777779</v>
      </c>
      <c r="I153" s="34">
        <v>26</v>
      </c>
      <c r="J153" s="35">
        <f t="shared" si="32"/>
        <v>0.22222222222222221</v>
      </c>
      <c r="K153" s="34">
        <v>0</v>
      </c>
      <c r="L153" s="35">
        <f t="shared" si="33"/>
        <v>4.0983606557377046E-2</v>
      </c>
      <c r="M153" s="34">
        <v>24</v>
      </c>
      <c r="N153" s="35">
        <f t="shared" si="34"/>
        <v>0.19672131147540983</v>
      </c>
      <c r="O153" s="36">
        <f t="shared" si="35"/>
        <v>0.86839708561020035</v>
      </c>
    </row>
    <row r="154" spans="2:15" x14ac:dyDescent="0.25">
      <c r="B154" s="31" t="s">
        <v>144</v>
      </c>
      <c r="C154" s="34">
        <f t="shared" si="29"/>
        <v>393</v>
      </c>
      <c r="D154" s="34">
        <v>345</v>
      </c>
      <c r="E154" s="34">
        <v>304</v>
      </c>
      <c r="F154" s="35">
        <f t="shared" si="30"/>
        <v>0.88115942028985506</v>
      </c>
      <c r="G154" s="34">
        <v>259</v>
      </c>
      <c r="H154" s="35">
        <f t="shared" si="31"/>
        <v>0.85197368421052633</v>
      </c>
      <c r="I154" s="34">
        <v>45</v>
      </c>
      <c r="J154" s="35">
        <f t="shared" si="32"/>
        <v>0.14802631578947367</v>
      </c>
      <c r="K154" s="34">
        <v>0</v>
      </c>
      <c r="L154" s="35">
        <f t="shared" si="33"/>
        <v>0.11884057971014493</v>
      </c>
      <c r="M154" s="34">
        <v>48</v>
      </c>
      <c r="N154" s="35">
        <f t="shared" si="34"/>
        <v>0.1391304347826087</v>
      </c>
      <c r="O154" s="36">
        <f t="shared" si="35"/>
        <v>0.86656655225019064</v>
      </c>
    </row>
    <row r="155" spans="2:15" x14ac:dyDescent="0.25">
      <c r="B155" s="31" t="s">
        <v>167</v>
      </c>
      <c r="C155" s="34">
        <f t="shared" si="29"/>
        <v>106</v>
      </c>
      <c r="D155" s="34">
        <v>95</v>
      </c>
      <c r="E155" s="34">
        <v>91</v>
      </c>
      <c r="F155" s="35">
        <f t="shared" si="30"/>
        <v>0.95789473684210524</v>
      </c>
      <c r="G155" s="34">
        <v>70</v>
      </c>
      <c r="H155" s="35">
        <f t="shared" si="31"/>
        <v>0.76923076923076927</v>
      </c>
      <c r="I155" s="34">
        <v>21</v>
      </c>
      <c r="J155" s="35">
        <f t="shared" si="32"/>
        <v>0.23076923076923078</v>
      </c>
      <c r="K155" s="34">
        <v>0</v>
      </c>
      <c r="L155" s="35">
        <f t="shared" si="33"/>
        <v>4.2105263157894736E-2</v>
      </c>
      <c r="M155" s="34">
        <v>11</v>
      </c>
      <c r="N155" s="35">
        <f t="shared" si="34"/>
        <v>0.11578947368421053</v>
      </c>
      <c r="O155" s="36">
        <f t="shared" si="35"/>
        <v>0.86356275303643726</v>
      </c>
    </row>
    <row r="156" spans="2:15" x14ac:dyDescent="0.25">
      <c r="B156" s="31" t="s">
        <v>140</v>
      </c>
      <c r="C156" s="34">
        <f t="shared" si="29"/>
        <v>231</v>
      </c>
      <c r="D156" s="34">
        <v>214</v>
      </c>
      <c r="E156" s="34">
        <v>204</v>
      </c>
      <c r="F156" s="35">
        <f t="shared" si="30"/>
        <v>0.95327102803738317</v>
      </c>
      <c r="G156" s="34">
        <v>157</v>
      </c>
      <c r="H156" s="35">
        <f t="shared" si="31"/>
        <v>0.76960784313725494</v>
      </c>
      <c r="I156" s="34">
        <v>47</v>
      </c>
      <c r="J156" s="35">
        <f t="shared" si="32"/>
        <v>0.23039215686274508</v>
      </c>
      <c r="K156" s="34">
        <v>0</v>
      </c>
      <c r="L156" s="35">
        <f t="shared" si="33"/>
        <v>4.6728971962616821E-2</v>
      </c>
      <c r="M156" s="34">
        <v>17</v>
      </c>
      <c r="N156" s="35">
        <f t="shared" si="34"/>
        <v>7.9439252336448593E-2</v>
      </c>
      <c r="O156" s="36">
        <f t="shared" si="35"/>
        <v>0.86143943558731906</v>
      </c>
    </row>
    <row r="157" spans="2:15" x14ac:dyDescent="0.25">
      <c r="B157" s="31" t="s">
        <v>67</v>
      </c>
      <c r="C157" s="34">
        <f t="shared" si="29"/>
        <v>343</v>
      </c>
      <c r="D157" s="34">
        <v>291</v>
      </c>
      <c r="E157" s="34">
        <v>274</v>
      </c>
      <c r="F157" s="35">
        <f t="shared" si="30"/>
        <v>0.94158075601374569</v>
      </c>
      <c r="G157" s="34">
        <v>214</v>
      </c>
      <c r="H157" s="35">
        <f t="shared" si="31"/>
        <v>0.78102189781021902</v>
      </c>
      <c r="I157" s="34">
        <v>60</v>
      </c>
      <c r="J157" s="35">
        <f t="shared" si="32"/>
        <v>0.21897810218978103</v>
      </c>
      <c r="K157" s="34">
        <v>4</v>
      </c>
      <c r="L157" s="35">
        <f t="shared" si="33"/>
        <v>4.4673539518900345E-2</v>
      </c>
      <c r="M157" s="34">
        <v>52</v>
      </c>
      <c r="N157" s="35">
        <f t="shared" si="34"/>
        <v>0.17869415807560138</v>
      </c>
      <c r="O157" s="36">
        <f t="shared" si="35"/>
        <v>0.86130132691198236</v>
      </c>
    </row>
    <row r="158" spans="2:15" x14ac:dyDescent="0.25">
      <c r="B158" s="31" t="s">
        <v>34</v>
      </c>
      <c r="C158" s="34">
        <f t="shared" si="29"/>
        <v>512</v>
      </c>
      <c r="D158" s="34">
        <v>480</v>
      </c>
      <c r="E158" s="34">
        <v>388</v>
      </c>
      <c r="F158" s="35">
        <f t="shared" si="30"/>
        <v>0.80833333333333335</v>
      </c>
      <c r="G158" s="34">
        <v>350</v>
      </c>
      <c r="H158" s="35">
        <f t="shared" si="31"/>
        <v>0.90206185567010311</v>
      </c>
      <c r="I158" s="34">
        <v>38</v>
      </c>
      <c r="J158" s="35">
        <f t="shared" si="32"/>
        <v>9.7938144329896906E-2</v>
      </c>
      <c r="K158" s="34">
        <v>1</v>
      </c>
      <c r="L158" s="35">
        <f t="shared" si="33"/>
        <v>0.18958333333333333</v>
      </c>
      <c r="M158" s="34">
        <v>32</v>
      </c>
      <c r="N158" s="35">
        <f t="shared" si="34"/>
        <v>6.6666666666666666E-2</v>
      </c>
      <c r="O158" s="36">
        <f t="shared" si="35"/>
        <v>0.85519759450171828</v>
      </c>
    </row>
    <row r="159" spans="2:15" x14ac:dyDescent="0.25">
      <c r="B159" s="31" t="s">
        <v>121</v>
      </c>
      <c r="C159" s="34">
        <f t="shared" si="29"/>
        <v>398</v>
      </c>
      <c r="D159" s="34">
        <v>339</v>
      </c>
      <c r="E159" s="34">
        <v>320</v>
      </c>
      <c r="F159" s="35">
        <f t="shared" si="30"/>
        <v>0.94395280235988199</v>
      </c>
      <c r="G159" s="34">
        <v>233</v>
      </c>
      <c r="H159" s="35">
        <f t="shared" si="31"/>
        <v>0.72812500000000002</v>
      </c>
      <c r="I159" s="34">
        <v>87</v>
      </c>
      <c r="J159" s="35">
        <f t="shared" si="32"/>
        <v>0.27187499999999998</v>
      </c>
      <c r="K159" s="34">
        <v>1</v>
      </c>
      <c r="L159" s="35">
        <f t="shared" si="33"/>
        <v>5.3097345132743362E-2</v>
      </c>
      <c r="M159" s="34">
        <v>59</v>
      </c>
      <c r="N159" s="35">
        <f t="shared" si="34"/>
        <v>0.17404129793510326</v>
      </c>
      <c r="O159" s="36">
        <f t="shared" si="35"/>
        <v>0.83603890117994095</v>
      </c>
    </row>
    <row r="160" spans="2:15" x14ac:dyDescent="0.25">
      <c r="B160" s="31" t="s">
        <v>166</v>
      </c>
      <c r="C160" s="34">
        <f t="shared" si="29"/>
        <v>437</v>
      </c>
      <c r="D160" s="34">
        <v>339</v>
      </c>
      <c r="E160" s="34">
        <v>324</v>
      </c>
      <c r="F160" s="35">
        <f t="shared" si="30"/>
        <v>0.95575221238938057</v>
      </c>
      <c r="G160" s="34">
        <v>223</v>
      </c>
      <c r="H160" s="35">
        <f t="shared" si="31"/>
        <v>0.68827160493827155</v>
      </c>
      <c r="I160" s="34">
        <v>101</v>
      </c>
      <c r="J160" s="35">
        <f t="shared" si="32"/>
        <v>0.31172839506172839</v>
      </c>
      <c r="K160" s="34">
        <v>1</v>
      </c>
      <c r="L160" s="35">
        <f t="shared" si="33"/>
        <v>4.1297935103244837E-2</v>
      </c>
      <c r="M160" s="34">
        <v>98</v>
      </c>
      <c r="N160" s="35">
        <f t="shared" si="34"/>
        <v>0.28908554572271389</v>
      </c>
      <c r="O160" s="36">
        <f t="shared" si="35"/>
        <v>0.82201190866382601</v>
      </c>
    </row>
    <row r="161" spans="2:15" x14ac:dyDescent="0.25">
      <c r="B161" s="31" t="s">
        <v>161</v>
      </c>
      <c r="C161" s="34">
        <f t="shared" si="29"/>
        <v>127</v>
      </c>
      <c r="D161" s="34">
        <v>125</v>
      </c>
      <c r="E161" s="34">
        <v>83</v>
      </c>
      <c r="F161" s="35">
        <f t="shared" si="30"/>
        <v>0.66400000000000003</v>
      </c>
      <c r="G161" s="34">
        <v>81</v>
      </c>
      <c r="H161" s="35">
        <f t="shared" si="31"/>
        <v>0.97590361445783136</v>
      </c>
      <c r="I161" s="34">
        <v>2</v>
      </c>
      <c r="J161" s="35">
        <f t="shared" si="32"/>
        <v>2.4096385542168676E-2</v>
      </c>
      <c r="K161" s="34">
        <v>0</v>
      </c>
      <c r="L161" s="35">
        <f t="shared" si="33"/>
        <v>0.33600000000000002</v>
      </c>
      <c r="M161" s="34">
        <v>2</v>
      </c>
      <c r="N161" s="35">
        <f t="shared" si="34"/>
        <v>1.6E-2</v>
      </c>
      <c r="O161" s="36">
        <f t="shared" si="35"/>
        <v>0.8199518072289157</v>
      </c>
    </row>
    <row r="162" spans="2:15" x14ac:dyDescent="0.25">
      <c r="B162" s="31" t="s">
        <v>78</v>
      </c>
      <c r="C162" s="34">
        <f t="shared" si="29"/>
        <v>300</v>
      </c>
      <c r="D162" s="34">
        <v>274</v>
      </c>
      <c r="E162" s="34">
        <v>240</v>
      </c>
      <c r="F162" s="35">
        <f t="shared" si="30"/>
        <v>0.87591240875912413</v>
      </c>
      <c r="G162" s="34">
        <v>180</v>
      </c>
      <c r="H162" s="35">
        <f t="shared" si="31"/>
        <v>0.75</v>
      </c>
      <c r="I162" s="34">
        <v>60</v>
      </c>
      <c r="J162" s="35">
        <f t="shared" si="32"/>
        <v>0.25</v>
      </c>
      <c r="K162" s="34">
        <v>0</v>
      </c>
      <c r="L162" s="35">
        <f t="shared" si="33"/>
        <v>0.12408759124087591</v>
      </c>
      <c r="M162" s="34">
        <v>26</v>
      </c>
      <c r="N162" s="35">
        <f t="shared" si="34"/>
        <v>9.4890510948905105E-2</v>
      </c>
      <c r="O162" s="36">
        <f t="shared" si="35"/>
        <v>0.81295620437956206</v>
      </c>
    </row>
    <row r="163" spans="2:15" x14ac:dyDescent="0.25">
      <c r="B163" s="31" t="s">
        <v>99</v>
      </c>
      <c r="C163" s="34">
        <f t="shared" si="29"/>
        <v>203</v>
      </c>
      <c r="D163" s="34">
        <v>180</v>
      </c>
      <c r="E163" s="34">
        <v>144</v>
      </c>
      <c r="F163" s="35">
        <f t="shared" si="30"/>
        <v>0.8</v>
      </c>
      <c r="G163" s="34">
        <v>118</v>
      </c>
      <c r="H163" s="35">
        <f t="shared" si="31"/>
        <v>0.81944444444444442</v>
      </c>
      <c r="I163" s="34">
        <v>26</v>
      </c>
      <c r="J163" s="35">
        <f t="shared" si="32"/>
        <v>0.18055555555555555</v>
      </c>
      <c r="K163" s="34">
        <v>0</v>
      </c>
      <c r="L163" s="35">
        <f t="shared" si="33"/>
        <v>0.2</v>
      </c>
      <c r="M163" s="34">
        <v>23</v>
      </c>
      <c r="N163" s="35">
        <f t="shared" si="34"/>
        <v>0.12777777777777777</v>
      </c>
      <c r="O163" s="36">
        <f t="shared" si="35"/>
        <v>0.80972222222222223</v>
      </c>
    </row>
    <row r="164" spans="2:15" x14ac:dyDescent="0.25">
      <c r="B164" s="31" t="s">
        <v>168</v>
      </c>
      <c r="C164" s="34">
        <f t="shared" si="29"/>
        <v>375</v>
      </c>
      <c r="D164" s="34">
        <v>306</v>
      </c>
      <c r="E164" s="34">
        <v>302</v>
      </c>
      <c r="F164" s="35">
        <f t="shared" si="30"/>
        <v>0.98692810457516345</v>
      </c>
      <c r="G164" s="34">
        <v>183</v>
      </c>
      <c r="H164" s="35">
        <f t="shared" si="31"/>
        <v>0.60596026490066224</v>
      </c>
      <c r="I164" s="34">
        <v>119</v>
      </c>
      <c r="J164" s="35">
        <f t="shared" si="32"/>
        <v>0.39403973509933776</v>
      </c>
      <c r="K164" s="34">
        <v>1</v>
      </c>
      <c r="L164" s="35">
        <f t="shared" si="33"/>
        <v>9.8039215686274508E-3</v>
      </c>
      <c r="M164" s="34">
        <v>69</v>
      </c>
      <c r="N164" s="35">
        <f t="shared" si="34"/>
        <v>0.22549019607843138</v>
      </c>
      <c r="O164" s="36">
        <f t="shared" si="35"/>
        <v>0.7964441847379129</v>
      </c>
    </row>
    <row r="166" spans="2:15" x14ac:dyDescent="0.25">
      <c r="B166" s="8" t="s">
        <v>220</v>
      </c>
      <c r="C166" s="17">
        <f>+E9</f>
        <v>66718</v>
      </c>
      <c r="D166" s="6"/>
    </row>
    <row r="167" spans="2:15" x14ac:dyDescent="0.25">
      <c r="B167" s="8" t="s">
        <v>221</v>
      </c>
      <c r="C167" s="17">
        <f>+K9</f>
        <v>284</v>
      </c>
      <c r="D167" s="6"/>
    </row>
    <row r="168" spans="2:15" x14ac:dyDescent="0.25">
      <c r="B168" s="8" t="s">
        <v>222</v>
      </c>
      <c r="C168" s="18">
        <f>+D9-E9-K9</f>
        <v>2772</v>
      </c>
      <c r="D168" s="6"/>
    </row>
    <row r="169" spans="2:15" x14ac:dyDescent="0.25">
      <c r="C169" s="6"/>
      <c r="D169" s="6"/>
    </row>
    <row r="170" spans="2:15" x14ac:dyDescent="0.25">
      <c r="B170" s="8" t="s">
        <v>223</v>
      </c>
      <c r="C170" s="18">
        <f>+G9</f>
        <v>57469</v>
      </c>
      <c r="D170" s="6"/>
    </row>
    <row r="171" spans="2:15" x14ac:dyDescent="0.25">
      <c r="B171" s="8" t="s">
        <v>224</v>
      </c>
      <c r="C171" s="18">
        <f>+I9</f>
        <v>9249</v>
      </c>
      <c r="D171" s="6"/>
    </row>
    <row r="172" spans="2:15" x14ac:dyDescent="0.25">
      <c r="C172" s="6"/>
      <c r="D172" s="6"/>
    </row>
    <row r="173" spans="2:15" ht="30" x14ac:dyDescent="0.25">
      <c r="B173" s="8" t="s">
        <v>225</v>
      </c>
      <c r="C173" s="18">
        <f>+D9-M9</f>
        <v>61945</v>
      </c>
      <c r="D173" s="19">
        <f>+C173/D9</f>
        <v>0.88779488061455558</v>
      </c>
    </row>
    <row r="174" spans="2:15" x14ac:dyDescent="0.25">
      <c r="B174" s="8" t="s">
        <v>226</v>
      </c>
      <c r="C174" s="18">
        <f>+M9</f>
        <v>7829</v>
      </c>
      <c r="D174" s="19">
        <f>+C174/D9</f>
        <v>0.11220511938544443</v>
      </c>
    </row>
  </sheetData>
  <sortState ref="B79:O164">
    <sortCondition descending="1" ref="O79:O164"/>
  </sortState>
  <mergeCells count="1">
    <mergeCell ref="B1:O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57"/>
  <sheetViews>
    <sheetView zoomScale="80" zoomScaleNormal="80" workbookViewId="0">
      <selection activeCell="B3" sqref="B3"/>
    </sheetView>
  </sheetViews>
  <sheetFormatPr defaultRowHeight="15" x14ac:dyDescent="0.25"/>
  <cols>
    <col min="1" max="1" width="2.5703125" customWidth="1"/>
    <col min="2" max="2" width="31.140625" customWidth="1"/>
    <col min="3" max="3" width="13.85546875" style="23" customWidth="1"/>
    <col min="4" max="5" width="13.140625" style="23" customWidth="1"/>
    <col min="6" max="7" width="12.5703125" style="23" customWidth="1"/>
    <col min="8" max="9" width="12.5703125" customWidth="1"/>
    <col min="10" max="10" width="13.85546875" customWidth="1"/>
    <col min="11" max="11" width="13.140625" customWidth="1"/>
    <col min="12" max="12" width="13.28515625" customWidth="1"/>
    <col min="13" max="13" width="4.140625" customWidth="1"/>
    <col min="14" max="14" width="31.7109375" customWidth="1"/>
    <col min="15" max="19" width="15.140625" style="23" customWidth="1"/>
  </cols>
  <sheetData>
    <row r="2" spans="3:18" ht="15" customHeight="1" x14ac:dyDescent="0.25">
      <c r="C2" s="67" t="s">
        <v>243</v>
      </c>
      <c r="D2" s="67"/>
      <c r="E2" s="67"/>
      <c r="F2" s="67"/>
      <c r="G2" s="67"/>
      <c r="H2" s="67"/>
      <c r="I2" s="67"/>
      <c r="J2" s="67"/>
      <c r="K2" s="67"/>
      <c r="L2" s="67"/>
      <c r="M2" s="67"/>
      <c r="N2" s="67"/>
    </row>
    <row r="3" spans="3:18" ht="15" customHeight="1" x14ac:dyDescent="0.25">
      <c r="C3" s="67"/>
      <c r="D3" s="67"/>
      <c r="E3" s="67"/>
      <c r="F3" s="67"/>
      <c r="G3" s="67"/>
      <c r="H3" s="67"/>
      <c r="I3" s="67"/>
      <c r="J3" s="67"/>
      <c r="K3" s="67"/>
      <c r="L3" s="67"/>
      <c r="M3" s="67"/>
      <c r="N3" s="67"/>
    </row>
    <row r="4" spans="3:18" ht="15" customHeight="1" x14ac:dyDescent="0.25">
      <c r="C4" s="67"/>
      <c r="D4" s="67"/>
      <c r="E4" s="67"/>
      <c r="F4" s="67"/>
      <c r="G4" s="67"/>
      <c r="H4" s="67"/>
      <c r="I4" s="67"/>
      <c r="J4" s="67"/>
      <c r="K4" s="67"/>
      <c r="L4" s="67"/>
      <c r="M4" s="67"/>
      <c r="N4" s="67"/>
    </row>
    <row r="5" spans="3:18" ht="15" customHeight="1" x14ac:dyDescent="0.25">
      <c r="C5" s="67"/>
      <c r="D5" s="67"/>
      <c r="E5" s="67"/>
      <c r="F5" s="67"/>
      <c r="G5" s="67"/>
      <c r="H5" s="67"/>
      <c r="I5" s="67"/>
      <c r="J5" s="67"/>
      <c r="K5" s="67"/>
      <c r="L5" s="67"/>
      <c r="M5" s="67"/>
      <c r="N5" s="67"/>
    </row>
    <row r="6" spans="3:18" ht="15" customHeight="1" x14ac:dyDescent="0.25">
      <c r="C6" s="67"/>
      <c r="D6" s="67"/>
      <c r="E6" s="67"/>
      <c r="F6" s="67"/>
      <c r="G6" s="67"/>
      <c r="H6" s="67"/>
      <c r="I6" s="67"/>
      <c r="J6" s="67"/>
      <c r="K6" s="67"/>
      <c r="L6" s="67"/>
      <c r="M6" s="67"/>
      <c r="N6" s="67"/>
    </row>
    <row r="7" spans="3:18" ht="15" customHeight="1" x14ac:dyDescent="0.25">
      <c r="C7" s="67"/>
      <c r="D7" s="67"/>
      <c r="E7" s="67"/>
      <c r="F7" s="67"/>
      <c r="G7" s="67"/>
      <c r="H7" s="67"/>
      <c r="I7" s="67"/>
      <c r="J7" s="67"/>
      <c r="K7" s="67"/>
      <c r="L7" s="67"/>
      <c r="M7" s="67"/>
      <c r="N7" s="67"/>
    </row>
    <row r="10" spans="3:18" x14ac:dyDescent="0.25">
      <c r="D10" s="68" t="s">
        <v>240</v>
      </c>
      <c r="E10" s="69"/>
      <c r="F10" s="70"/>
      <c r="P10" s="68" t="s">
        <v>240</v>
      </c>
      <c r="Q10" s="69"/>
      <c r="R10" s="70"/>
    </row>
    <row r="11" spans="3:18" x14ac:dyDescent="0.25">
      <c r="D11" s="71"/>
      <c r="E11" s="72"/>
      <c r="F11" s="73"/>
      <c r="P11" s="71"/>
      <c r="Q11" s="72"/>
      <c r="R11" s="73"/>
    </row>
    <row r="12" spans="3:18" x14ac:dyDescent="0.25">
      <c r="D12" s="74"/>
      <c r="E12" s="75"/>
      <c r="F12" s="76"/>
      <c r="P12" s="74"/>
      <c r="Q12" s="75"/>
      <c r="R12" s="76"/>
    </row>
    <row r="14" spans="3:18" x14ac:dyDescent="0.25">
      <c r="D14" s="77" t="s">
        <v>244</v>
      </c>
      <c r="E14" s="78"/>
      <c r="F14" s="79"/>
      <c r="P14" s="77" t="s">
        <v>244</v>
      </c>
      <c r="Q14" s="78"/>
      <c r="R14" s="79"/>
    </row>
    <row r="15" spans="3:18" x14ac:dyDescent="0.25">
      <c r="D15" s="80"/>
      <c r="E15" s="81"/>
      <c r="F15" s="82"/>
      <c r="P15" s="80"/>
      <c r="Q15" s="81"/>
      <c r="R15" s="82"/>
    </row>
    <row r="16" spans="3:18" x14ac:dyDescent="0.25">
      <c r="D16" s="80"/>
      <c r="E16" s="81"/>
      <c r="F16" s="82"/>
      <c r="P16" s="80"/>
      <c r="Q16" s="81"/>
      <c r="R16" s="82"/>
    </row>
    <row r="17" spans="2:19" x14ac:dyDescent="0.25">
      <c r="D17" s="80"/>
      <c r="E17" s="81"/>
      <c r="F17" s="82"/>
      <c r="P17" s="80"/>
      <c r="Q17" s="81"/>
      <c r="R17" s="82"/>
    </row>
    <row r="18" spans="2:19" x14ac:dyDescent="0.25">
      <c r="D18" s="83"/>
      <c r="E18" s="84"/>
      <c r="F18" s="85"/>
      <c r="P18" s="83"/>
      <c r="Q18" s="84"/>
      <c r="R18" s="85"/>
    </row>
    <row r="20" spans="2:19" ht="60" x14ac:dyDescent="0.25">
      <c r="B20" s="21" t="s">
        <v>227</v>
      </c>
      <c r="C20" s="22" t="s">
        <v>228</v>
      </c>
      <c r="D20" s="22" t="s">
        <v>196</v>
      </c>
      <c r="E20" s="22" t="s">
        <v>234</v>
      </c>
      <c r="F20" s="22" t="s">
        <v>198</v>
      </c>
      <c r="G20" s="22" t="s">
        <v>269</v>
      </c>
      <c r="H20" s="22" t="s">
        <v>200</v>
      </c>
      <c r="I20" s="22" t="s">
        <v>270</v>
      </c>
      <c r="J20" s="22" t="s">
        <v>202</v>
      </c>
      <c r="K20" s="22" t="s">
        <v>237</v>
      </c>
      <c r="L20" s="22" t="s">
        <v>271</v>
      </c>
      <c r="N20" s="21" t="s">
        <v>272</v>
      </c>
      <c r="O20" s="22" t="s">
        <v>204</v>
      </c>
      <c r="P20" s="22" t="s">
        <v>273</v>
      </c>
      <c r="Q20" s="22" t="s">
        <v>231</v>
      </c>
      <c r="R20" s="22" t="s">
        <v>232</v>
      </c>
      <c r="S20" s="22" t="s">
        <v>233</v>
      </c>
    </row>
    <row r="21" spans="2:19" x14ac:dyDescent="0.25">
      <c r="B21" s="20" t="s">
        <v>47</v>
      </c>
      <c r="C21" s="24">
        <v>644</v>
      </c>
      <c r="D21" s="24">
        <v>609</v>
      </c>
      <c r="E21" s="30">
        <v>0.94565217391304346</v>
      </c>
      <c r="F21" s="24">
        <v>563</v>
      </c>
      <c r="G21" s="30">
        <v>0.92446633825944169</v>
      </c>
      <c r="H21" s="24">
        <v>46</v>
      </c>
      <c r="I21" s="30">
        <v>7.5533661740558297E-2</v>
      </c>
      <c r="J21" s="24">
        <v>1</v>
      </c>
      <c r="K21" s="30">
        <v>5.2795031055900624E-2</v>
      </c>
      <c r="L21" s="30">
        <v>0.93505925608624252</v>
      </c>
      <c r="N21" s="20" t="s">
        <v>47</v>
      </c>
      <c r="O21" s="24">
        <v>43</v>
      </c>
      <c r="P21" s="24">
        <v>43</v>
      </c>
      <c r="Q21" s="24">
        <v>37</v>
      </c>
      <c r="R21" s="24">
        <v>6</v>
      </c>
      <c r="S21" s="24">
        <v>0</v>
      </c>
    </row>
    <row r="22" spans="2:19" x14ac:dyDescent="0.25">
      <c r="B22" s="20" t="s">
        <v>77</v>
      </c>
      <c r="C22" s="24">
        <v>1640</v>
      </c>
      <c r="D22" s="24">
        <v>1578</v>
      </c>
      <c r="E22" s="30">
        <v>0.96219512195121948</v>
      </c>
      <c r="F22" s="24">
        <v>1196</v>
      </c>
      <c r="G22" s="30">
        <v>0.75792141951837766</v>
      </c>
      <c r="H22" s="24">
        <v>382</v>
      </c>
      <c r="I22" s="30">
        <v>0.24207858048162231</v>
      </c>
      <c r="J22" s="24">
        <v>2</v>
      </c>
      <c r="K22" s="30">
        <v>3.6585365853658534E-2</v>
      </c>
      <c r="L22" s="30">
        <v>0.86005827073479857</v>
      </c>
      <c r="N22" s="20" t="s">
        <v>77</v>
      </c>
      <c r="O22" s="24">
        <v>137</v>
      </c>
      <c r="P22" s="24">
        <v>131</v>
      </c>
      <c r="Q22" s="24">
        <v>82</v>
      </c>
      <c r="R22" s="24">
        <v>49</v>
      </c>
      <c r="S22" s="24">
        <v>0</v>
      </c>
    </row>
    <row r="23" spans="2:19" x14ac:dyDescent="0.25">
      <c r="B23" s="20" t="s">
        <v>184</v>
      </c>
      <c r="C23" s="24">
        <v>857</v>
      </c>
      <c r="D23" s="24">
        <v>840</v>
      </c>
      <c r="E23" s="30">
        <v>0.98016336056009334</v>
      </c>
      <c r="F23" s="24">
        <v>601</v>
      </c>
      <c r="G23" s="30">
        <v>0.71547619047619049</v>
      </c>
      <c r="H23" s="24">
        <v>239</v>
      </c>
      <c r="I23" s="30">
        <v>0.28452380952380951</v>
      </c>
      <c r="J23" s="24">
        <v>0</v>
      </c>
      <c r="K23" s="30">
        <v>1.9836639439906652E-2</v>
      </c>
      <c r="L23" s="30">
        <v>0.84781977551814192</v>
      </c>
      <c r="N23" s="20" t="s">
        <v>184</v>
      </c>
      <c r="O23" s="24">
        <v>147</v>
      </c>
      <c r="P23" s="24">
        <v>145</v>
      </c>
      <c r="Q23" s="24">
        <v>103</v>
      </c>
      <c r="R23" s="24">
        <v>42</v>
      </c>
      <c r="S23" s="24">
        <v>0</v>
      </c>
    </row>
    <row r="24" spans="2:19" x14ac:dyDescent="0.25">
      <c r="B24" s="20" t="s">
        <v>22</v>
      </c>
      <c r="C24" s="24">
        <v>646</v>
      </c>
      <c r="D24" s="24">
        <v>618</v>
      </c>
      <c r="E24" s="30">
        <v>0.95665634674922606</v>
      </c>
      <c r="F24" s="24">
        <v>443</v>
      </c>
      <c r="G24" s="30">
        <v>0.71682847896440127</v>
      </c>
      <c r="H24" s="24">
        <v>175</v>
      </c>
      <c r="I24" s="30">
        <v>0.28317152103559873</v>
      </c>
      <c r="J24" s="24">
        <v>2</v>
      </c>
      <c r="K24" s="30">
        <v>4.0247678018575851E-2</v>
      </c>
      <c r="L24" s="30">
        <v>0.83674241285681372</v>
      </c>
      <c r="N24" s="20" t="s">
        <v>22</v>
      </c>
      <c r="O24" s="24">
        <v>138</v>
      </c>
      <c r="P24" s="24">
        <v>135</v>
      </c>
      <c r="Q24" s="24">
        <v>95</v>
      </c>
      <c r="R24" s="24">
        <v>40</v>
      </c>
      <c r="S24" s="24">
        <v>1</v>
      </c>
    </row>
    <row r="25" spans="2:19" x14ac:dyDescent="0.25">
      <c r="B25" s="20" t="s">
        <v>126</v>
      </c>
      <c r="C25" s="24">
        <v>1378</v>
      </c>
      <c r="D25" s="24">
        <v>1263</v>
      </c>
      <c r="E25" s="30">
        <v>0.91654571843251087</v>
      </c>
      <c r="F25" s="24">
        <v>1036</v>
      </c>
      <c r="G25" s="30">
        <v>0.82026920031670625</v>
      </c>
      <c r="H25" s="24">
        <v>227</v>
      </c>
      <c r="I25" s="30">
        <v>0.17973079968329375</v>
      </c>
      <c r="J25" s="24">
        <v>57</v>
      </c>
      <c r="K25" s="30">
        <v>4.2089985486211901E-2</v>
      </c>
      <c r="L25" s="30">
        <v>0.8684074593746085</v>
      </c>
      <c r="N25" s="20" t="s">
        <v>126</v>
      </c>
      <c r="O25" s="24">
        <v>108</v>
      </c>
      <c r="P25" s="24">
        <v>106</v>
      </c>
      <c r="Q25" s="24">
        <v>79</v>
      </c>
      <c r="R25" s="24">
        <v>27</v>
      </c>
      <c r="S25" s="24">
        <v>0</v>
      </c>
    </row>
    <row r="26" spans="2:19" x14ac:dyDescent="0.25">
      <c r="B26" s="20" t="s">
        <v>123</v>
      </c>
      <c r="C26" s="24">
        <v>1142</v>
      </c>
      <c r="D26" s="24">
        <v>1046</v>
      </c>
      <c r="E26" s="30">
        <v>0.9159369527145359</v>
      </c>
      <c r="F26" s="24">
        <v>727</v>
      </c>
      <c r="G26" s="30">
        <v>0.69502868068833656</v>
      </c>
      <c r="H26" s="24">
        <v>319</v>
      </c>
      <c r="I26" s="30">
        <v>0.30497131931166349</v>
      </c>
      <c r="J26" s="24">
        <v>2</v>
      </c>
      <c r="K26" s="30">
        <v>8.2311733800350256E-2</v>
      </c>
      <c r="L26" s="30">
        <v>0.80548281670143629</v>
      </c>
      <c r="N26" s="20" t="s">
        <v>123</v>
      </c>
      <c r="O26" s="24">
        <v>236</v>
      </c>
      <c r="P26" s="24">
        <v>226</v>
      </c>
      <c r="Q26" s="24">
        <v>120</v>
      </c>
      <c r="R26" s="24">
        <v>106</v>
      </c>
      <c r="S26" s="24">
        <v>1</v>
      </c>
    </row>
    <row r="27" spans="2:19" x14ac:dyDescent="0.25">
      <c r="B27" s="20" t="s">
        <v>31</v>
      </c>
      <c r="C27" s="24">
        <v>1167</v>
      </c>
      <c r="D27" s="24">
        <v>1136</v>
      </c>
      <c r="E27" s="30">
        <v>0.97343616109682951</v>
      </c>
      <c r="F27" s="24">
        <v>993</v>
      </c>
      <c r="G27" s="30">
        <v>0.87411971830985913</v>
      </c>
      <c r="H27" s="24">
        <v>143</v>
      </c>
      <c r="I27" s="30">
        <v>0.12588028169014084</v>
      </c>
      <c r="J27" s="24">
        <v>2</v>
      </c>
      <c r="K27" s="30">
        <v>2.4850042844901457E-2</v>
      </c>
      <c r="L27" s="30">
        <v>0.92377793970334432</v>
      </c>
      <c r="N27" s="20" t="s">
        <v>31</v>
      </c>
      <c r="O27" s="24">
        <v>165</v>
      </c>
      <c r="P27" s="24">
        <v>165</v>
      </c>
      <c r="Q27" s="24">
        <v>144</v>
      </c>
      <c r="R27" s="24">
        <v>21</v>
      </c>
      <c r="S27" s="24">
        <v>0</v>
      </c>
    </row>
    <row r="28" spans="2:19" x14ac:dyDescent="0.25">
      <c r="B28" s="20" t="s">
        <v>149</v>
      </c>
      <c r="C28" s="24">
        <v>1264</v>
      </c>
      <c r="D28" s="24">
        <v>1219</v>
      </c>
      <c r="E28" s="30">
        <v>0.96439873417721522</v>
      </c>
      <c r="F28" s="24">
        <v>982</v>
      </c>
      <c r="G28" s="30">
        <v>0.80557834290401964</v>
      </c>
      <c r="H28" s="24">
        <v>237</v>
      </c>
      <c r="I28" s="30">
        <v>0.1944216570959803</v>
      </c>
      <c r="J28" s="24">
        <v>3</v>
      </c>
      <c r="K28" s="30">
        <v>3.3227848101265819E-2</v>
      </c>
      <c r="L28" s="30">
        <v>0.88498853854061743</v>
      </c>
      <c r="N28" s="20" t="s">
        <v>149</v>
      </c>
      <c r="O28" s="24">
        <v>112</v>
      </c>
      <c r="P28" s="24">
        <v>106</v>
      </c>
      <c r="Q28" s="24">
        <v>81</v>
      </c>
      <c r="R28" s="24">
        <v>25</v>
      </c>
      <c r="S28" s="24">
        <v>0</v>
      </c>
    </row>
    <row r="29" spans="2:19" x14ac:dyDescent="0.25">
      <c r="B29" s="20" t="s">
        <v>168</v>
      </c>
      <c r="C29" s="24">
        <v>306</v>
      </c>
      <c r="D29" s="24">
        <v>302</v>
      </c>
      <c r="E29" s="30">
        <v>0.98692810457516345</v>
      </c>
      <c r="F29" s="24">
        <v>183</v>
      </c>
      <c r="G29" s="30">
        <v>0.60596026490066224</v>
      </c>
      <c r="H29" s="24">
        <v>119</v>
      </c>
      <c r="I29" s="30">
        <v>0.39403973509933776</v>
      </c>
      <c r="J29" s="24">
        <v>1</v>
      </c>
      <c r="K29" s="30">
        <v>9.8039215686274508E-3</v>
      </c>
      <c r="L29" s="30">
        <v>0.7964441847379129</v>
      </c>
      <c r="N29" s="20" t="s">
        <v>168</v>
      </c>
      <c r="O29" s="24">
        <v>69</v>
      </c>
      <c r="P29" s="24">
        <v>67</v>
      </c>
      <c r="Q29" s="24">
        <v>46</v>
      </c>
      <c r="R29" s="24">
        <v>21</v>
      </c>
      <c r="S29" s="24">
        <v>1</v>
      </c>
    </row>
    <row r="30" spans="2:19" x14ac:dyDescent="0.25">
      <c r="B30" s="20" t="s">
        <v>32</v>
      </c>
      <c r="C30" s="24">
        <v>1667</v>
      </c>
      <c r="D30" s="24">
        <v>1595</v>
      </c>
      <c r="E30" s="30">
        <v>0.95680863827234552</v>
      </c>
      <c r="F30" s="24">
        <v>1389</v>
      </c>
      <c r="G30" s="30">
        <v>0.87084639498432603</v>
      </c>
      <c r="H30" s="24">
        <v>206</v>
      </c>
      <c r="I30" s="30">
        <v>0.12915360501567399</v>
      </c>
      <c r="J30" s="24">
        <v>22</v>
      </c>
      <c r="K30" s="30">
        <v>2.9994001199760048E-2</v>
      </c>
      <c r="L30" s="30">
        <v>0.91382751662833583</v>
      </c>
      <c r="N30" s="20" t="s">
        <v>32</v>
      </c>
      <c r="O30" s="24">
        <v>361</v>
      </c>
      <c r="P30" s="24">
        <v>355</v>
      </c>
      <c r="Q30" s="24">
        <v>317</v>
      </c>
      <c r="R30" s="24">
        <v>38</v>
      </c>
      <c r="S30" s="24">
        <v>1</v>
      </c>
    </row>
    <row r="31" spans="2:19" x14ac:dyDescent="0.25">
      <c r="B31" s="20" t="s">
        <v>116</v>
      </c>
      <c r="C31" s="24">
        <v>535</v>
      </c>
      <c r="D31" s="24">
        <v>522</v>
      </c>
      <c r="E31" s="30">
        <v>0.97570093457943929</v>
      </c>
      <c r="F31" s="24">
        <v>304</v>
      </c>
      <c r="G31" s="30">
        <v>0.58237547892720309</v>
      </c>
      <c r="H31" s="24">
        <v>218</v>
      </c>
      <c r="I31" s="30">
        <v>0.41762452107279696</v>
      </c>
      <c r="J31" s="24">
        <v>0</v>
      </c>
      <c r="K31" s="30">
        <v>2.4299065420560748E-2</v>
      </c>
      <c r="L31" s="30">
        <v>0.77903820675332125</v>
      </c>
      <c r="N31" s="20" t="s">
        <v>116</v>
      </c>
      <c r="O31" s="24">
        <v>71</v>
      </c>
      <c r="P31" s="24">
        <v>71</v>
      </c>
      <c r="Q31" s="24">
        <v>44</v>
      </c>
      <c r="R31" s="24">
        <v>27</v>
      </c>
      <c r="S31" s="24">
        <v>0</v>
      </c>
    </row>
    <row r="32" spans="2:19" x14ac:dyDescent="0.25">
      <c r="B32" s="20" t="s">
        <v>78</v>
      </c>
      <c r="C32" s="24">
        <v>274</v>
      </c>
      <c r="D32" s="24">
        <v>240</v>
      </c>
      <c r="E32" s="30">
        <v>0.87591240875912413</v>
      </c>
      <c r="F32" s="24">
        <v>180</v>
      </c>
      <c r="G32" s="30">
        <v>0.75</v>
      </c>
      <c r="H32" s="24">
        <v>60</v>
      </c>
      <c r="I32" s="30">
        <v>0.25</v>
      </c>
      <c r="J32" s="24">
        <v>0</v>
      </c>
      <c r="K32" s="30">
        <v>0.12408759124087591</v>
      </c>
      <c r="L32" s="30">
        <v>0.81295620437956206</v>
      </c>
      <c r="N32" s="20" t="s">
        <v>78</v>
      </c>
      <c r="O32" s="24">
        <v>26</v>
      </c>
      <c r="P32" s="24">
        <v>26</v>
      </c>
      <c r="Q32" s="24">
        <v>19</v>
      </c>
      <c r="R32" s="24">
        <v>7</v>
      </c>
      <c r="S32" s="24">
        <v>0</v>
      </c>
    </row>
    <row r="33" spans="2:19" x14ac:dyDescent="0.25">
      <c r="B33" s="20" t="s">
        <v>112</v>
      </c>
      <c r="C33" s="24">
        <v>822</v>
      </c>
      <c r="D33" s="24">
        <v>793</v>
      </c>
      <c r="E33" s="30">
        <v>0.96472019464720193</v>
      </c>
      <c r="F33" s="24">
        <v>504</v>
      </c>
      <c r="G33" s="30">
        <v>0.63556116015132413</v>
      </c>
      <c r="H33" s="24">
        <v>289</v>
      </c>
      <c r="I33" s="30">
        <v>0.36443883984867592</v>
      </c>
      <c r="J33" s="24">
        <v>1</v>
      </c>
      <c r="K33" s="30">
        <v>3.4063260340632603E-2</v>
      </c>
      <c r="L33" s="30">
        <v>0.80014067739926298</v>
      </c>
      <c r="N33" s="20" t="s">
        <v>112</v>
      </c>
      <c r="O33" s="24">
        <v>139</v>
      </c>
      <c r="P33" s="24">
        <v>133</v>
      </c>
      <c r="Q33" s="24">
        <v>88</v>
      </c>
      <c r="R33" s="24">
        <v>45</v>
      </c>
      <c r="S33" s="24">
        <v>0</v>
      </c>
    </row>
    <row r="34" spans="2:19" x14ac:dyDescent="0.25">
      <c r="B34" s="20" t="s">
        <v>146</v>
      </c>
      <c r="C34" s="24">
        <v>723</v>
      </c>
      <c r="D34" s="24">
        <v>698</v>
      </c>
      <c r="E34" s="30">
        <v>0.96542185338865838</v>
      </c>
      <c r="F34" s="24">
        <v>671</v>
      </c>
      <c r="G34" s="30">
        <v>0.9613180515759312</v>
      </c>
      <c r="H34" s="24">
        <v>27</v>
      </c>
      <c r="I34" s="30">
        <v>3.8681948424068767E-2</v>
      </c>
      <c r="J34" s="24">
        <v>0</v>
      </c>
      <c r="K34" s="30">
        <v>3.4578146611341634E-2</v>
      </c>
      <c r="L34" s="30">
        <v>0.96336995248229473</v>
      </c>
      <c r="N34" s="20" t="s">
        <v>146</v>
      </c>
      <c r="O34" s="24">
        <v>51</v>
      </c>
      <c r="P34" s="24">
        <v>50</v>
      </c>
      <c r="Q34" s="24">
        <v>47</v>
      </c>
      <c r="R34" s="24">
        <v>3</v>
      </c>
      <c r="S34" s="24">
        <v>0</v>
      </c>
    </row>
    <row r="35" spans="2:19" x14ac:dyDescent="0.25">
      <c r="B35" s="20" t="s">
        <v>62</v>
      </c>
      <c r="C35" s="24">
        <v>966</v>
      </c>
      <c r="D35" s="24">
        <v>937</v>
      </c>
      <c r="E35" s="30">
        <v>0.96997929606625255</v>
      </c>
      <c r="F35" s="24">
        <v>518</v>
      </c>
      <c r="G35" s="30">
        <v>0.55282817502668091</v>
      </c>
      <c r="H35" s="24">
        <v>419</v>
      </c>
      <c r="I35" s="30">
        <v>0.44717182497331909</v>
      </c>
      <c r="J35" s="24">
        <v>1</v>
      </c>
      <c r="K35" s="30">
        <v>2.8985507246376812E-2</v>
      </c>
      <c r="L35" s="30">
        <v>0.76140373554646668</v>
      </c>
      <c r="N35" s="20" t="s">
        <v>62</v>
      </c>
      <c r="O35" s="24">
        <v>240</v>
      </c>
      <c r="P35" s="24">
        <v>235</v>
      </c>
      <c r="Q35" s="24">
        <v>113</v>
      </c>
      <c r="R35" s="24">
        <v>122</v>
      </c>
      <c r="S35" s="24">
        <v>0</v>
      </c>
    </row>
    <row r="36" spans="2:19" x14ac:dyDescent="0.25">
      <c r="B36" s="20" t="s">
        <v>79</v>
      </c>
      <c r="C36" s="24">
        <v>862</v>
      </c>
      <c r="D36" s="24">
        <v>822</v>
      </c>
      <c r="E36" s="30">
        <v>0.95359628770301619</v>
      </c>
      <c r="F36" s="24">
        <v>707</v>
      </c>
      <c r="G36" s="30">
        <v>0.86009732360097324</v>
      </c>
      <c r="H36" s="24">
        <v>115</v>
      </c>
      <c r="I36" s="30">
        <v>0.13990267639902676</v>
      </c>
      <c r="J36" s="24">
        <v>6</v>
      </c>
      <c r="K36" s="30">
        <v>3.9443155452436193E-2</v>
      </c>
      <c r="L36" s="30">
        <v>0.90684680565199471</v>
      </c>
      <c r="N36" s="20" t="s">
        <v>79</v>
      </c>
      <c r="O36" s="24">
        <v>131</v>
      </c>
      <c r="P36" s="24">
        <v>128</v>
      </c>
      <c r="Q36" s="24">
        <v>98</v>
      </c>
      <c r="R36" s="24">
        <v>30</v>
      </c>
      <c r="S36" s="24">
        <v>1</v>
      </c>
    </row>
    <row r="37" spans="2:19" x14ac:dyDescent="0.25">
      <c r="B37" s="20" t="s">
        <v>119</v>
      </c>
      <c r="C37" s="24">
        <v>685</v>
      </c>
      <c r="D37" s="24">
        <v>618</v>
      </c>
      <c r="E37" s="30">
        <v>0.90218978102189784</v>
      </c>
      <c r="F37" s="24">
        <v>406</v>
      </c>
      <c r="G37" s="30">
        <v>0.65695792880258896</v>
      </c>
      <c r="H37" s="24">
        <v>212</v>
      </c>
      <c r="I37" s="30">
        <v>0.34304207119741098</v>
      </c>
      <c r="J37" s="24">
        <v>2</v>
      </c>
      <c r="K37" s="30">
        <v>9.4890510948905105E-2</v>
      </c>
      <c r="L37" s="30">
        <v>0.7795738549122434</v>
      </c>
      <c r="N37" s="20" t="s">
        <v>119</v>
      </c>
      <c r="O37" s="24">
        <v>82</v>
      </c>
      <c r="P37" s="24">
        <v>72</v>
      </c>
      <c r="Q37" s="24">
        <v>44</v>
      </c>
      <c r="R37" s="24">
        <v>28</v>
      </c>
      <c r="S37" s="24">
        <v>1</v>
      </c>
    </row>
    <row r="38" spans="2:19" x14ac:dyDescent="0.25">
      <c r="B38" s="20" t="s">
        <v>89</v>
      </c>
      <c r="C38" s="24">
        <v>379</v>
      </c>
      <c r="D38" s="24">
        <v>372</v>
      </c>
      <c r="E38" s="30">
        <v>0.98153034300791553</v>
      </c>
      <c r="F38" s="24">
        <v>358</v>
      </c>
      <c r="G38" s="30">
        <v>0.9623655913978495</v>
      </c>
      <c r="H38" s="24">
        <v>14</v>
      </c>
      <c r="I38" s="30">
        <v>3.7634408602150539E-2</v>
      </c>
      <c r="J38" s="24">
        <v>1</v>
      </c>
      <c r="K38" s="30">
        <v>1.5831134564643801E-2</v>
      </c>
      <c r="L38" s="30">
        <v>0.97194796720288257</v>
      </c>
      <c r="N38" s="20" t="s">
        <v>89</v>
      </c>
      <c r="O38" s="24">
        <v>18</v>
      </c>
      <c r="P38" s="24">
        <v>17</v>
      </c>
      <c r="Q38" s="24">
        <v>15</v>
      </c>
      <c r="R38" s="24">
        <v>2</v>
      </c>
      <c r="S38" s="24">
        <v>1</v>
      </c>
    </row>
    <row r="39" spans="2:19" x14ac:dyDescent="0.25">
      <c r="B39" s="20" t="s">
        <v>53</v>
      </c>
      <c r="C39" s="24">
        <v>333</v>
      </c>
      <c r="D39" s="24">
        <v>311</v>
      </c>
      <c r="E39" s="30">
        <v>0.93393393393393398</v>
      </c>
      <c r="F39" s="24">
        <v>277</v>
      </c>
      <c r="G39" s="30">
        <v>0.89067524115755625</v>
      </c>
      <c r="H39" s="24">
        <v>34</v>
      </c>
      <c r="I39" s="30">
        <v>0.10932475884244373</v>
      </c>
      <c r="J39" s="24">
        <v>2</v>
      </c>
      <c r="K39" s="30">
        <v>6.006006006006006E-2</v>
      </c>
      <c r="L39" s="30">
        <v>0.91230458754574517</v>
      </c>
      <c r="N39" s="20" t="s">
        <v>53</v>
      </c>
      <c r="O39" s="24">
        <v>36</v>
      </c>
      <c r="P39" s="24">
        <v>35</v>
      </c>
      <c r="Q39" s="24">
        <v>31</v>
      </c>
      <c r="R39" s="24">
        <v>4</v>
      </c>
      <c r="S39" s="24">
        <v>1</v>
      </c>
    </row>
    <row r="40" spans="2:19" x14ac:dyDescent="0.25">
      <c r="B40" s="20" t="s">
        <v>141</v>
      </c>
      <c r="C40" s="24">
        <v>703</v>
      </c>
      <c r="D40" s="24">
        <v>689</v>
      </c>
      <c r="E40" s="30">
        <v>0.98008534850640117</v>
      </c>
      <c r="F40" s="24">
        <v>627</v>
      </c>
      <c r="G40" s="30">
        <v>0.91001451378809872</v>
      </c>
      <c r="H40" s="24">
        <v>62</v>
      </c>
      <c r="I40" s="30">
        <v>8.9985486211901305E-2</v>
      </c>
      <c r="J40" s="24">
        <v>0</v>
      </c>
      <c r="K40" s="30">
        <v>1.9914651493598862E-2</v>
      </c>
      <c r="L40" s="30">
        <v>0.94504993114725</v>
      </c>
      <c r="N40" s="20" t="s">
        <v>141</v>
      </c>
      <c r="O40" s="24">
        <v>54</v>
      </c>
      <c r="P40" s="24">
        <v>54</v>
      </c>
      <c r="Q40" s="24">
        <v>49</v>
      </c>
      <c r="R40" s="24">
        <v>5</v>
      </c>
      <c r="S40" s="24">
        <v>0</v>
      </c>
    </row>
    <row r="41" spans="2:19" x14ac:dyDescent="0.25">
      <c r="B41" s="20" t="s">
        <v>128</v>
      </c>
      <c r="C41" s="24">
        <v>264</v>
      </c>
      <c r="D41" s="24">
        <v>248</v>
      </c>
      <c r="E41" s="30">
        <v>0.93939393939393945</v>
      </c>
      <c r="F41" s="24">
        <v>212</v>
      </c>
      <c r="G41" s="30">
        <v>0.85483870967741937</v>
      </c>
      <c r="H41" s="24">
        <v>36</v>
      </c>
      <c r="I41" s="30">
        <v>0.14516129032258066</v>
      </c>
      <c r="J41" s="24">
        <v>3</v>
      </c>
      <c r="K41" s="30">
        <v>4.924242424242424E-2</v>
      </c>
      <c r="L41" s="30">
        <v>0.89711632453567947</v>
      </c>
      <c r="N41" s="20" t="s">
        <v>128</v>
      </c>
      <c r="O41" s="24">
        <v>64</v>
      </c>
      <c r="P41" s="24">
        <v>61</v>
      </c>
      <c r="Q41" s="24">
        <v>54</v>
      </c>
      <c r="R41" s="24">
        <v>7</v>
      </c>
      <c r="S41" s="24">
        <v>2</v>
      </c>
    </row>
    <row r="42" spans="2:19" x14ac:dyDescent="0.25">
      <c r="B42" s="20" t="s">
        <v>73</v>
      </c>
      <c r="C42" s="24">
        <v>757</v>
      </c>
      <c r="D42" s="24">
        <v>741</v>
      </c>
      <c r="E42" s="30">
        <v>0.97886393659180981</v>
      </c>
      <c r="F42" s="24">
        <v>677</v>
      </c>
      <c r="G42" s="30">
        <v>0.91363022941970307</v>
      </c>
      <c r="H42" s="24">
        <v>64</v>
      </c>
      <c r="I42" s="30">
        <v>8.6369770580296892E-2</v>
      </c>
      <c r="J42" s="24">
        <v>3</v>
      </c>
      <c r="K42" s="30">
        <v>1.7173051519154558E-2</v>
      </c>
      <c r="L42" s="30">
        <v>0.94624708300575644</v>
      </c>
      <c r="N42" s="20" t="s">
        <v>73</v>
      </c>
      <c r="O42" s="24">
        <v>72</v>
      </c>
      <c r="P42" s="24">
        <v>70</v>
      </c>
      <c r="Q42" s="24">
        <v>62</v>
      </c>
      <c r="R42" s="24">
        <v>8</v>
      </c>
      <c r="S42" s="24">
        <v>0</v>
      </c>
    </row>
    <row r="43" spans="2:19" x14ac:dyDescent="0.25">
      <c r="B43" s="20" t="s">
        <v>158</v>
      </c>
      <c r="C43" s="24">
        <v>1119</v>
      </c>
      <c r="D43" s="24">
        <v>1081</v>
      </c>
      <c r="E43" s="30">
        <v>0.96604110813226096</v>
      </c>
      <c r="F43" s="24">
        <v>971</v>
      </c>
      <c r="G43" s="30">
        <v>0.89824236817761327</v>
      </c>
      <c r="H43" s="24">
        <v>110</v>
      </c>
      <c r="I43" s="30">
        <v>0.10175763182238667</v>
      </c>
      <c r="J43" s="24">
        <v>3</v>
      </c>
      <c r="K43" s="30">
        <v>3.1277926720285967E-2</v>
      </c>
      <c r="L43" s="30">
        <v>0.93214173815493706</v>
      </c>
      <c r="N43" s="20" t="s">
        <v>158</v>
      </c>
      <c r="O43" s="24">
        <v>131</v>
      </c>
      <c r="P43" s="24">
        <v>125</v>
      </c>
      <c r="Q43" s="24">
        <v>105</v>
      </c>
      <c r="R43" s="24">
        <v>20</v>
      </c>
      <c r="S43" s="24">
        <v>2</v>
      </c>
    </row>
    <row r="44" spans="2:19" x14ac:dyDescent="0.25">
      <c r="B44" s="20" t="s">
        <v>67</v>
      </c>
      <c r="C44" s="24">
        <v>291</v>
      </c>
      <c r="D44" s="24">
        <v>274</v>
      </c>
      <c r="E44" s="30">
        <v>0.94158075601374569</v>
      </c>
      <c r="F44" s="24">
        <v>214</v>
      </c>
      <c r="G44" s="30">
        <v>0.78102189781021902</v>
      </c>
      <c r="H44" s="24">
        <v>60</v>
      </c>
      <c r="I44" s="30">
        <v>0.21897810218978103</v>
      </c>
      <c r="J44" s="24">
        <v>4</v>
      </c>
      <c r="K44" s="30">
        <v>4.4673539518900345E-2</v>
      </c>
      <c r="L44" s="30">
        <v>0.86130132691198236</v>
      </c>
      <c r="N44" s="20" t="s">
        <v>67</v>
      </c>
      <c r="O44" s="24">
        <v>52</v>
      </c>
      <c r="P44" s="24">
        <v>47</v>
      </c>
      <c r="Q44" s="24">
        <v>33</v>
      </c>
      <c r="R44" s="24">
        <v>14</v>
      </c>
      <c r="S44" s="24">
        <v>0</v>
      </c>
    </row>
    <row r="45" spans="2:19" x14ac:dyDescent="0.25">
      <c r="B45" s="20" t="s">
        <v>183</v>
      </c>
      <c r="C45" s="24">
        <v>167</v>
      </c>
      <c r="D45" s="24">
        <v>160</v>
      </c>
      <c r="E45" s="30">
        <v>0.95808383233532934</v>
      </c>
      <c r="F45" s="24">
        <v>127</v>
      </c>
      <c r="G45" s="30">
        <v>0.79374999999999996</v>
      </c>
      <c r="H45" s="24">
        <v>33</v>
      </c>
      <c r="I45" s="30">
        <v>0.20624999999999999</v>
      </c>
      <c r="J45" s="24">
        <v>1</v>
      </c>
      <c r="K45" s="30">
        <v>3.5928143712574849E-2</v>
      </c>
      <c r="L45" s="30">
        <v>0.87591691616766465</v>
      </c>
      <c r="N45" s="20" t="s">
        <v>183</v>
      </c>
      <c r="O45" s="24">
        <v>27</v>
      </c>
      <c r="P45" s="24">
        <v>27</v>
      </c>
      <c r="Q45" s="24">
        <v>22</v>
      </c>
      <c r="R45" s="24">
        <v>5</v>
      </c>
      <c r="S45" s="24">
        <v>0</v>
      </c>
    </row>
    <row r="46" spans="2:19" x14ac:dyDescent="0.25">
      <c r="B46" s="20" t="s">
        <v>90</v>
      </c>
      <c r="C46" s="24">
        <v>685</v>
      </c>
      <c r="D46" s="24">
        <v>650</v>
      </c>
      <c r="E46" s="30">
        <v>0.94890510948905105</v>
      </c>
      <c r="F46" s="24">
        <v>597</v>
      </c>
      <c r="G46" s="30">
        <v>0.91846153846153844</v>
      </c>
      <c r="H46" s="24">
        <v>53</v>
      </c>
      <c r="I46" s="30">
        <v>8.1538461538461532E-2</v>
      </c>
      <c r="J46" s="24">
        <v>11</v>
      </c>
      <c r="K46" s="30">
        <v>3.5036496350364967E-2</v>
      </c>
      <c r="L46" s="30">
        <v>0.93368332397529474</v>
      </c>
      <c r="N46" s="20" t="s">
        <v>90</v>
      </c>
      <c r="O46" s="24">
        <v>32</v>
      </c>
      <c r="P46" s="24">
        <v>30</v>
      </c>
      <c r="Q46" s="24">
        <v>28</v>
      </c>
      <c r="R46" s="24">
        <v>2</v>
      </c>
      <c r="S46" s="24">
        <v>1</v>
      </c>
    </row>
    <row r="47" spans="2:19" x14ac:dyDescent="0.25">
      <c r="B47" s="20" t="s">
        <v>54</v>
      </c>
      <c r="C47" s="24">
        <v>174</v>
      </c>
      <c r="D47" s="24">
        <v>172</v>
      </c>
      <c r="E47" s="30">
        <v>0.9885057471264368</v>
      </c>
      <c r="F47" s="24">
        <v>154</v>
      </c>
      <c r="G47" s="30">
        <v>0.89534883720930236</v>
      </c>
      <c r="H47" s="24">
        <v>18</v>
      </c>
      <c r="I47" s="30">
        <v>0.10465116279069768</v>
      </c>
      <c r="J47" s="24">
        <v>1</v>
      </c>
      <c r="K47" s="30">
        <v>5.7471264367816091E-3</v>
      </c>
      <c r="L47" s="30">
        <v>0.94192729216786963</v>
      </c>
      <c r="N47" s="20" t="s">
        <v>54</v>
      </c>
      <c r="O47" s="24">
        <v>30</v>
      </c>
      <c r="P47" s="24">
        <v>30</v>
      </c>
      <c r="Q47" s="24">
        <v>25</v>
      </c>
      <c r="R47" s="24">
        <v>5</v>
      </c>
      <c r="S47" s="24">
        <v>0</v>
      </c>
    </row>
    <row r="48" spans="2:19" x14ac:dyDescent="0.25">
      <c r="B48" s="20" t="s">
        <v>63</v>
      </c>
      <c r="C48" s="24">
        <v>495</v>
      </c>
      <c r="D48" s="24">
        <v>451</v>
      </c>
      <c r="E48" s="30">
        <v>0.91111111111111109</v>
      </c>
      <c r="F48" s="24">
        <v>415</v>
      </c>
      <c r="G48" s="30">
        <v>0.92017738359201773</v>
      </c>
      <c r="H48" s="24">
        <v>36</v>
      </c>
      <c r="I48" s="30">
        <v>7.9822616407982258E-2</v>
      </c>
      <c r="J48" s="24">
        <v>8</v>
      </c>
      <c r="K48" s="30">
        <v>7.2727272727272724E-2</v>
      </c>
      <c r="L48" s="30">
        <v>0.91564424735156447</v>
      </c>
      <c r="N48" s="20" t="s">
        <v>63</v>
      </c>
      <c r="O48" s="24">
        <v>25</v>
      </c>
      <c r="P48" s="24">
        <v>22</v>
      </c>
      <c r="Q48" s="24">
        <v>20</v>
      </c>
      <c r="R48" s="24">
        <v>2</v>
      </c>
      <c r="S48" s="24">
        <v>3</v>
      </c>
    </row>
    <row r="49" spans="2:19" x14ac:dyDescent="0.25">
      <c r="B49" s="20" t="s">
        <v>108</v>
      </c>
      <c r="C49" s="24">
        <v>1143</v>
      </c>
      <c r="D49" s="24">
        <v>884</v>
      </c>
      <c r="E49" s="30">
        <v>0.77340332458442695</v>
      </c>
      <c r="F49" s="24">
        <v>814</v>
      </c>
      <c r="G49" s="30">
        <v>0.920814479638009</v>
      </c>
      <c r="H49" s="24">
        <v>70</v>
      </c>
      <c r="I49" s="30">
        <v>7.9185520361990946E-2</v>
      </c>
      <c r="J49" s="24">
        <v>0</v>
      </c>
      <c r="K49" s="30">
        <v>0.22659667541557305</v>
      </c>
      <c r="L49" s="30">
        <v>0.84710890211121792</v>
      </c>
      <c r="N49" s="20" t="s">
        <v>108</v>
      </c>
      <c r="O49" s="24">
        <v>50</v>
      </c>
      <c r="P49" s="24">
        <v>46</v>
      </c>
      <c r="Q49" s="24">
        <v>45</v>
      </c>
      <c r="R49" s="24">
        <v>1</v>
      </c>
      <c r="S49" s="24">
        <v>0</v>
      </c>
    </row>
    <row r="50" spans="2:19" x14ac:dyDescent="0.25">
      <c r="B50" s="20" t="s">
        <v>91</v>
      </c>
      <c r="C50" s="24">
        <v>697</v>
      </c>
      <c r="D50" s="24">
        <v>675</v>
      </c>
      <c r="E50" s="30">
        <v>0.96843615494978474</v>
      </c>
      <c r="F50" s="24">
        <v>624</v>
      </c>
      <c r="G50" s="30">
        <v>0.9244444444444444</v>
      </c>
      <c r="H50" s="24">
        <v>51</v>
      </c>
      <c r="I50" s="30">
        <v>7.5555555555555556E-2</v>
      </c>
      <c r="J50" s="24">
        <v>2</v>
      </c>
      <c r="K50" s="30">
        <v>2.8694404591104734E-2</v>
      </c>
      <c r="L50" s="30">
        <v>0.94644029969711463</v>
      </c>
      <c r="N50" s="20" t="s">
        <v>91</v>
      </c>
      <c r="O50" s="24">
        <v>33</v>
      </c>
      <c r="P50" s="24">
        <v>32</v>
      </c>
      <c r="Q50" s="24">
        <v>27</v>
      </c>
      <c r="R50" s="24">
        <v>5</v>
      </c>
      <c r="S50" s="24">
        <v>1</v>
      </c>
    </row>
    <row r="51" spans="2:19" x14ac:dyDescent="0.25">
      <c r="B51" s="20" t="s">
        <v>110</v>
      </c>
      <c r="C51" s="24">
        <v>430</v>
      </c>
      <c r="D51" s="24">
        <v>419</v>
      </c>
      <c r="E51" s="30">
        <v>0.97441860465116281</v>
      </c>
      <c r="F51" s="24">
        <v>371</v>
      </c>
      <c r="G51" s="30">
        <v>0.88544152744630067</v>
      </c>
      <c r="H51" s="24">
        <v>48</v>
      </c>
      <c r="I51" s="30">
        <v>0.11455847255369929</v>
      </c>
      <c r="J51" s="24">
        <v>2</v>
      </c>
      <c r="K51" s="30">
        <v>2.0930232558139535E-2</v>
      </c>
      <c r="L51" s="30">
        <v>0.92993006604873174</v>
      </c>
      <c r="N51" s="20" t="s">
        <v>110</v>
      </c>
      <c r="O51" s="24">
        <v>50</v>
      </c>
      <c r="P51" s="24">
        <v>49</v>
      </c>
      <c r="Q51" s="24">
        <v>40</v>
      </c>
      <c r="R51" s="24">
        <v>9</v>
      </c>
      <c r="S51" s="24">
        <v>1</v>
      </c>
    </row>
    <row r="52" spans="2:19" x14ac:dyDescent="0.25">
      <c r="B52" s="20" t="s">
        <v>99</v>
      </c>
      <c r="C52" s="24">
        <v>180</v>
      </c>
      <c r="D52" s="24">
        <v>144</v>
      </c>
      <c r="E52" s="30">
        <v>0.8</v>
      </c>
      <c r="F52" s="24">
        <v>118</v>
      </c>
      <c r="G52" s="30">
        <v>0.81944444444444442</v>
      </c>
      <c r="H52" s="24">
        <v>26</v>
      </c>
      <c r="I52" s="30">
        <v>0.18055555555555555</v>
      </c>
      <c r="J52" s="24">
        <v>0</v>
      </c>
      <c r="K52" s="30">
        <v>0.2</v>
      </c>
      <c r="L52" s="30">
        <v>0.80972222222222223</v>
      </c>
      <c r="N52" s="20" t="s">
        <v>99</v>
      </c>
      <c r="O52" s="24">
        <v>23</v>
      </c>
      <c r="P52" s="24">
        <v>15</v>
      </c>
      <c r="Q52" s="24">
        <v>12</v>
      </c>
      <c r="R52" s="24">
        <v>3</v>
      </c>
      <c r="S52" s="24">
        <v>0</v>
      </c>
    </row>
    <row r="53" spans="2:19" x14ac:dyDescent="0.25">
      <c r="B53" s="20" t="s">
        <v>50</v>
      </c>
      <c r="C53" s="24">
        <v>307</v>
      </c>
      <c r="D53" s="24">
        <v>263</v>
      </c>
      <c r="E53" s="30">
        <v>0.85667752442996747</v>
      </c>
      <c r="F53" s="24">
        <v>237</v>
      </c>
      <c r="G53" s="30">
        <v>0.90114068441064643</v>
      </c>
      <c r="H53" s="24">
        <v>26</v>
      </c>
      <c r="I53" s="30">
        <v>9.8859315589353611E-2</v>
      </c>
      <c r="J53" s="24">
        <v>0</v>
      </c>
      <c r="K53" s="30">
        <v>0.14332247557003258</v>
      </c>
      <c r="L53" s="30">
        <v>0.87890910442030701</v>
      </c>
      <c r="N53" s="20" t="s">
        <v>50</v>
      </c>
      <c r="O53" s="24">
        <v>36</v>
      </c>
      <c r="P53" s="24">
        <v>34</v>
      </c>
      <c r="Q53" s="24">
        <v>31</v>
      </c>
      <c r="R53" s="24">
        <v>3</v>
      </c>
      <c r="S53" s="24">
        <v>0</v>
      </c>
    </row>
    <row r="54" spans="2:19" x14ac:dyDescent="0.25">
      <c r="B54" s="20" t="s">
        <v>64</v>
      </c>
      <c r="C54" s="24">
        <v>481</v>
      </c>
      <c r="D54" s="24">
        <v>462</v>
      </c>
      <c r="E54" s="30">
        <v>0.96049896049896055</v>
      </c>
      <c r="F54" s="24">
        <v>424</v>
      </c>
      <c r="G54" s="30">
        <v>0.91774891774891776</v>
      </c>
      <c r="H54" s="24">
        <v>38</v>
      </c>
      <c r="I54" s="30">
        <v>8.2251082251082255E-2</v>
      </c>
      <c r="J54" s="24">
        <v>3</v>
      </c>
      <c r="K54" s="30">
        <v>3.3264033264033266E-2</v>
      </c>
      <c r="L54" s="30">
        <v>0.93912393912393921</v>
      </c>
      <c r="N54" s="20" t="s">
        <v>64</v>
      </c>
      <c r="O54" s="24">
        <v>61</v>
      </c>
      <c r="P54" s="24">
        <v>61</v>
      </c>
      <c r="Q54" s="24">
        <v>52</v>
      </c>
      <c r="R54" s="24">
        <v>9</v>
      </c>
      <c r="S54" s="24">
        <v>0</v>
      </c>
    </row>
    <row r="55" spans="2:19" x14ac:dyDescent="0.25">
      <c r="B55" s="20" t="s">
        <v>85</v>
      </c>
      <c r="C55" s="24">
        <v>1032</v>
      </c>
      <c r="D55" s="24">
        <v>1019</v>
      </c>
      <c r="E55" s="30">
        <v>0.98740310077519378</v>
      </c>
      <c r="F55" s="24">
        <v>966</v>
      </c>
      <c r="G55" s="30">
        <v>0.94798822374877334</v>
      </c>
      <c r="H55" s="24">
        <v>53</v>
      </c>
      <c r="I55" s="30">
        <v>5.2011776251226695E-2</v>
      </c>
      <c r="J55" s="24">
        <v>2</v>
      </c>
      <c r="K55" s="30">
        <v>1.065891472868217E-2</v>
      </c>
      <c r="L55" s="30">
        <v>0.96769566226198356</v>
      </c>
      <c r="N55" s="20" t="s">
        <v>85</v>
      </c>
      <c r="O55" s="24">
        <v>30</v>
      </c>
      <c r="P55" s="24">
        <v>29</v>
      </c>
      <c r="Q55" s="24">
        <v>28</v>
      </c>
      <c r="R55" s="24">
        <v>1</v>
      </c>
      <c r="S55" s="24">
        <v>0</v>
      </c>
    </row>
    <row r="56" spans="2:19" x14ac:dyDescent="0.25">
      <c r="B56" s="20" t="s">
        <v>65</v>
      </c>
      <c r="C56" s="24">
        <v>202</v>
      </c>
      <c r="D56" s="24">
        <v>195</v>
      </c>
      <c r="E56" s="30">
        <v>0.96534653465346532</v>
      </c>
      <c r="F56" s="24">
        <v>182</v>
      </c>
      <c r="G56" s="30">
        <v>0.93333333333333335</v>
      </c>
      <c r="H56" s="24">
        <v>13</v>
      </c>
      <c r="I56" s="30">
        <v>6.6666666666666666E-2</v>
      </c>
      <c r="J56" s="24">
        <v>1</v>
      </c>
      <c r="K56" s="30">
        <v>2.9702970297029702E-2</v>
      </c>
      <c r="L56" s="30">
        <v>0.94933993399339933</v>
      </c>
      <c r="N56" s="20" t="s">
        <v>65</v>
      </c>
      <c r="O56" s="24">
        <v>17</v>
      </c>
      <c r="P56" s="24">
        <v>15</v>
      </c>
      <c r="Q56" s="24">
        <v>12</v>
      </c>
      <c r="R56" s="24">
        <v>3</v>
      </c>
      <c r="S56" s="24">
        <v>0</v>
      </c>
    </row>
    <row r="57" spans="2:19" x14ac:dyDescent="0.25">
      <c r="B57" s="20" t="s">
        <v>39</v>
      </c>
      <c r="C57" s="24">
        <v>934</v>
      </c>
      <c r="D57" s="24">
        <v>907</v>
      </c>
      <c r="E57" s="30">
        <v>0.97109207708779444</v>
      </c>
      <c r="F57" s="24">
        <v>845</v>
      </c>
      <c r="G57" s="30">
        <v>0.93164277839029763</v>
      </c>
      <c r="H57" s="24">
        <v>62</v>
      </c>
      <c r="I57" s="30">
        <v>6.8357221609702312E-2</v>
      </c>
      <c r="J57" s="24">
        <v>13</v>
      </c>
      <c r="K57" s="30">
        <v>1.4989293361884369E-2</v>
      </c>
      <c r="L57" s="30">
        <v>0.95136742773904603</v>
      </c>
      <c r="N57" s="20" t="s">
        <v>39</v>
      </c>
      <c r="O57" s="24">
        <v>49</v>
      </c>
      <c r="P57" s="24">
        <v>48</v>
      </c>
      <c r="Q57" s="24">
        <v>46</v>
      </c>
      <c r="R57" s="24">
        <v>2</v>
      </c>
      <c r="S57" s="24">
        <v>2</v>
      </c>
    </row>
    <row r="58" spans="2:19" x14ac:dyDescent="0.25">
      <c r="B58" s="20" t="s">
        <v>167</v>
      </c>
      <c r="C58" s="24">
        <v>95</v>
      </c>
      <c r="D58" s="24">
        <v>91</v>
      </c>
      <c r="E58" s="30">
        <v>0.95789473684210524</v>
      </c>
      <c r="F58" s="24">
        <v>70</v>
      </c>
      <c r="G58" s="30">
        <v>0.76923076923076927</v>
      </c>
      <c r="H58" s="24">
        <v>21</v>
      </c>
      <c r="I58" s="30">
        <v>0.23076923076923078</v>
      </c>
      <c r="J58" s="24">
        <v>0</v>
      </c>
      <c r="K58" s="30">
        <v>4.2105263157894736E-2</v>
      </c>
      <c r="L58" s="30">
        <v>0.86356275303643726</v>
      </c>
      <c r="N58" s="20" t="s">
        <v>167</v>
      </c>
      <c r="O58" s="24">
        <v>11</v>
      </c>
      <c r="P58" s="24">
        <v>11</v>
      </c>
      <c r="Q58" s="24">
        <v>10</v>
      </c>
      <c r="R58" s="24">
        <v>1</v>
      </c>
      <c r="S58" s="24">
        <v>0</v>
      </c>
    </row>
    <row r="59" spans="2:19" x14ac:dyDescent="0.25">
      <c r="B59" s="20" t="s">
        <v>178</v>
      </c>
      <c r="C59" s="24">
        <v>237</v>
      </c>
      <c r="D59" s="24">
        <v>228</v>
      </c>
      <c r="E59" s="30">
        <v>0.96202531645569622</v>
      </c>
      <c r="F59" s="24">
        <v>198</v>
      </c>
      <c r="G59" s="30">
        <v>0.86842105263157898</v>
      </c>
      <c r="H59" s="24">
        <v>30</v>
      </c>
      <c r="I59" s="30">
        <v>0.13157894736842105</v>
      </c>
      <c r="J59" s="24">
        <v>2</v>
      </c>
      <c r="K59" s="30">
        <v>2.9535864978902954E-2</v>
      </c>
      <c r="L59" s="30">
        <v>0.9152231845436376</v>
      </c>
      <c r="N59" s="20" t="s">
        <v>178</v>
      </c>
      <c r="O59" s="24">
        <v>22</v>
      </c>
      <c r="P59" s="24">
        <v>22</v>
      </c>
      <c r="Q59" s="24">
        <v>18</v>
      </c>
      <c r="R59" s="24">
        <v>4</v>
      </c>
      <c r="S59" s="24">
        <v>0</v>
      </c>
    </row>
    <row r="60" spans="2:19" x14ac:dyDescent="0.25">
      <c r="B60" s="20" t="s">
        <v>107</v>
      </c>
      <c r="C60" s="24">
        <v>375</v>
      </c>
      <c r="D60" s="24">
        <v>361</v>
      </c>
      <c r="E60" s="30">
        <v>0.96266666666666667</v>
      </c>
      <c r="F60" s="24">
        <v>290</v>
      </c>
      <c r="G60" s="30">
        <v>0.80332409972299168</v>
      </c>
      <c r="H60" s="24">
        <v>71</v>
      </c>
      <c r="I60" s="30">
        <v>0.19667590027700832</v>
      </c>
      <c r="J60" s="24">
        <v>0</v>
      </c>
      <c r="K60" s="30">
        <v>3.7333333333333336E-2</v>
      </c>
      <c r="L60" s="30">
        <v>0.88299538319482918</v>
      </c>
      <c r="N60" s="20" t="s">
        <v>107</v>
      </c>
      <c r="O60" s="24">
        <v>67</v>
      </c>
      <c r="P60" s="24">
        <v>65</v>
      </c>
      <c r="Q60" s="24">
        <v>42</v>
      </c>
      <c r="R60" s="24">
        <v>23</v>
      </c>
      <c r="S60" s="24">
        <v>0</v>
      </c>
    </row>
    <row r="61" spans="2:19" x14ac:dyDescent="0.25">
      <c r="B61" s="20" t="s">
        <v>134</v>
      </c>
      <c r="C61" s="24">
        <v>39</v>
      </c>
      <c r="D61" s="24">
        <v>36</v>
      </c>
      <c r="E61" s="30">
        <v>0.92307692307692313</v>
      </c>
      <c r="F61" s="24">
        <v>34</v>
      </c>
      <c r="G61" s="30">
        <v>0.94444444444444442</v>
      </c>
      <c r="H61" s="24">
        <v>2</v>
      </c>
      <c r="I61" s="30">
        <v>5.5555555555555552E-2</v>
      </c>
      <c r="J61" s="24">
        <v>0</v>
      </c>
      <c r="K61" s="30">
        <v>7.6923076923076927E-2</v>
      </c>
      <c r="L61" s="30">
        <v>0.93376068376068377</v>
      </c>
      <c r="N61" s="20" t="s">
        <v>134</v>
      </c>
      <c r="O61" s="24">
        <v>3</v>
      </c>
      <c r="P61" s="24">
        <v>2</v>
      </c>
      <c r="Q61" s="24">
        <v>2</v>
      </c>
      <c r="R61" s="24">
        <v>0</v>
      </c>
      <c r="S61" s="24">
        <v>0</v>
      </c>
    </row>
    <row r="62" spans="2:19" x14ac:dyDescent="0.25">
      <c r="B62" s="20" t="s">
        <v>121</v>
      </c>
      <c r="C62" s="24">
        <v>339</v>
      </c>
      <c r="D62" s="24">
        <v>320</v>
      </c>
      <c r="E62" s="30">
        <v>0.94395280235988199</v>
      </c>
      <c r="F62" s="24">
        <v>233</v>
      </c>
      <c r="G62" s="30">
        <v>0.72812500000000002</v>
      </c>
      <c r="H62" s="24">
        <v>87</v>
      </c>
      <c r="I62" s="30">
        <v>0.27187499999999998</v>
      </c>
      <c r="J62" s="24">
        <v>1</v>
      </c>
      <c r="K62" s="30">
        <v>5.3097345132743362E-2</v>
      </c>
      <c r="L62" s="30">
        <v>0.83603890117994095</v>
      </c>
      <c r="N62" s="20" t="s">
        <v>121</v>
      </c>
      <c r="O62" s="24">
        <v>59</v>
      </c>
      <c r="P62" s="24">
        <v>59</v>
      </c>
      <c r="Q62" s="24">
        <v>40</v>
      </c>
      <c r="R62" s="24">
        <v>19</v>
      </c>
      <c r="S62" s="24">
        <v>0</v>
      </c>
    </row>
    <row r="63" spans="2:19" x14ac:dyDescent="0.25">
      <c r="B63" s="20" t="s">
        <v>80</v>
      </c>
      <c r="C63" s="24">
        <v>458</v>
      </c>
      <c r="D63" s="24">
        <v>455</v>
      </c>
      <c r="E63" s="30">
        <v>0.99344978165938869</v>
      </c>
      <c r="F63" s="24">
        <v>421</v>
      </c>
      <c r="G63" s="30">
        <v>0.92527472527472532</v>
      </c>
      <c r="H63" s="24">
        <v>34</v>
      </c>
      <c r="I63" s="30">
        <v>7.4725274725274723E-2</v>
      </c>
      <c r="J63" s="24">
        <v>0</v>
      </c>
      <c r="K63" s="30">
        <v>6.5502183406113534E-3</v>
      </c>
      <c r="L63" s="30">
        <v>0.95936225346705695</v>
      </c>
      <c r="N63" s="20" t="s">
        <v>80</v>
      </c>
      <c r="O63" s="24">
        <v>38</v>
      </c>
      <c r="P63" s="24">
        <v>38</v>
      </c>
      <c r="Q63" s="24">
        <v>33</v>
      </c>
      <c r="R63" s="24">
        <v>5</v>
      </c>
      <c r="S63" s="24">
        <v>0</v>
      </c>
    </row>
    <row r="64" spans="2:19" x14ac:dyDescent="0.25">
      <c r="B64" s="20" t="s">
        <v>101</v>
      </c>
      <c r="C64" s="24">
        <v>241</v>
      </c>
      <c r="D64" s="24">
        <v>237</v>
      </c>
      <c r="E64" s="30">
        <v>0.98340248962655596</v>
      </c>
      <c r="F64" s="24">
        <v>215</v>
      </c>
      <c r="G64" s="30">
        <v>0.90717299578059074</v>
      </c>
      <c r="H64" s="24">
        <v>22</v>
      </c>
      <c r="I64" s="30">
        <v>9.2827004219409287E-2</v>
      </c>
      <c r="J64" s="24">
        <v>0</v>
      </c>
      <c r="K64" s="30">
        <v>1.6597510373443983E-2</v>
      </c>
      <c r="L64" s="30">
        <v>0.9452877427035733</v>
      </c>
      <c r="N64" s="20" t="s">
        <v>101</v>
      </c>
      <c r="O64" s="24">
        <v>27</v>
      </c>
      <c r="P64" s="24">
        <v>27</v>
      </c>
      <c r="Q64" s="24">
        <v>23</v>
      </c>
      <c r="R64" s="24">
        <v>4</v>
      </c>
      <c r="S64" s="24">
        <v>0</v>
      </c>
    </row>
    <row r="65" spans="2:19" x14ac:dyDescent="0.25">
      <c r="B65" s="20" t="s">
        <v>52</v>
      </c>
      <c r="C65" s="24">
        <v>964</v>
      </c>
      <c r="D65" s="24">
        <v>935</v>
      </c>
      <c r="E65" s="30">
        <v>0.96991701244813278</v>
      </c>
      <c r="F65" s="24">
        <v>822</v>
      </c>
      <c r="G65" s="30">
        <v>0.87914438502673797</v>
      </c>
      <c r="H65" s="24">
        <v>113</v>
      </c>
      <c r="I65" s="30">
        <v>0.12085561497326203</v>
      </c>
      <c r="J65" s="24">
        <v>3</v>
      </c>
      <c r="K65" s="30">
        <v>2.6970954356846474E-2</v>
      </c>
      <c r="L65" s="30">
        <v>0.92453069873743532</v>
      </c>
      <c r="N65" s="20" t="s">
        <v>52</v>
      </c>
      <c r="O65" s="24">
        <v>120</v>
      </c>
      <c r="P65" s="24">
        <v>115</v>
      </c>
      <c r="Q65" s="24">
        <v>92</v>
      </c>
      <c r="R65" s="24">
        <v>23</v>
      </c>
      <c r="S65" s="24">
        <v>1</v>
      </c>
    </row>
    <row r="66" spans="2:19" x14ac:dyDescent="0.25">
      <c r="B66" s="20" t="s">
        <v>33</v>
      </c>
      <c r="C66" s="24">
        <v>832</v>
      </c>
      <c r="D66" s="24">
        <v>821</v>
      </c>
      <c r="E66" s="30">
        <v>0.98677884615384615</v>
      </c>
      <c r="F66" s="24">
        <v>738</v>
      </c>
      <c r="G66" s="30">
        <v>0.89890377588306947</v>
      </c>
      <c r="H66" s="24">
        <v>83</v>
      </c>
      <c r="I66" s="30">
        <v>0.10109622411693057</v>
      </c>
      <c r="J66" s="24">
        <v>1</v>
      </c>
      <c r="K66" s="30">
        <v>1.201923076923077E-2</v>
      </c>
      <c r="L66" s="30">
        <v>0.94284131101845781</v>
      </c>
      <c r="N66" s="20" t="s">
        <v>33</v>
      </c>
      <c r="O66" s="24">
        <v>78</v>
      </c>
      <c r="P66" s="24">
        <v>78</v>
      </c>
      <c r="Q66" s="24">
        <v>64</v>
      </c>
      <c r="R66" s="24">
        <v>14</v>
      </c>
      <c r="S66" s="24">
        <v>0</v>
      </c>
    </row>
    <row r="67" spans="2:19" x14ac:dyDescent="0.25">
      <c r="B67" s="20" t="s">
        <v>45</v>
      </c>
      <c r="C67" s="24">
        <v>159</v>
      </c>
      <c r="D67" s="24">
        <v>158</v>
      </c>
      <c r="E67" s="30">
        <v>0.99371069182389937</v>
      </c>
      <c r="F67" s="24">
        <v>153</v>
      </c>
      <c r="G67" s="30">
        <v>0.96835443037974689</v>
      </c>
      <c r="H67" s="24">
        <v>5</v>
      </c>
      <c r="I67" s="30">
        <v>3.1645569620253167E-2</v>
      </c>
      <c r="J67" s="24">
        <v>1</v>
      </c>
      <c r="K67" s="30">
        <v>0</v>
      </c>
      <c r="L67" s="30">
        <v>0.98103256110182313</v>
      </c>
      <c r="N67" s="20" t="s">
        <v>45</v>
      </c>
      <c r="O67" s="24">
        <v>7</v>
      </c>
      <c r="P67" s="24">
        <v>7</v>
      </c>
      <c r="Q67" s="24">
        <v>7</v>
      </c>
      <c r="R67" s="24">
        <v>0</v>
      </c>
      <c r="S67" s="24">
        <v>0</v>
      </c>
    </row>
    <row r="68" spans="2:19" x14ac:dyDescent="0.25">
      <c r="B68" s="20" t="s">
        <v>143</v>
      </c>
      <c r="C68" s="24">
        <v>193</v>
      </c>
      <c r="D68" s="24">
        <v>185</v>
      </c>
      <c r="E68" s="30">
        <v>0.95854922279792742</v>
      </c>
      <c r="F68" s="24">
        <v>145</v>
      </c>
      <c r="G68" s="30">
        <v>0.78378378378378377</v>
      </c>
      <c r="H68" s="24">
        <v>40</v>
      </c>
      <c r="I68" s="30">
        <v>0.21621621621621623</v>
      </c>
      <c r="J68" s="24">
        <v>0</v>
      </c>
      <c r="K68" s="30">
        <v>4.145077720207254E-2</v>
      </c>
      <c r="L68" s="30">
        <v>0.87116650329085554</v>
      </c>
      <c r="N68" s="20" t="s">
        <v>143</v>
      </c>
      <c r="O68" s="24">
        <v>56</v>
      </c>
      <c r="P68" s="24">
        <v>53</v>
      </c>
      <c r="Q68" s="24">
        <v>35</v>
      </c>
      <c r="R68" s="24">
        <v>18</v>
      </c>
      <c r="S68" s="24">
        <v>0</v>
      </c>
    </row>
    <row r="69" spans="2:19" x14ac:dyDescent="0.25">
      <c r="B69" s="20" t="s">
        <v>46</v>
      </c>
      <c r="C69" s="24">
        <v>709</v>
      </c>
      <c r="D69" s="24">
        <v>685</v>
      </c>
      <c r="E69" s="30">
        <v>0.96614950634696761</v>
      </c>
      <c r="F69" s="24">
        <v>594</v>
      </c>
      <c r="G69" s="30">
        <v>0.86715328467153285</v>
      </c>
      <c r="H69" s="24">
        <v>91</v>
      </c>
      <c r="I69" s="30">
        <v>0.13284671532846715</v>
      </c>
      <c r="J69" s="24">
        <v>0</v>
      </c>
      <c r="K69" s="30">
        <v>3.3850493653032443E-2</v>
      </c>
      <c r="L69" s="30">
        <v>0.91665139550925023</v>
      </c>
      <c r="N69" s="20" t="s">
        <v>46</v>
      </c>
      <c r="O69" s="24">
        <v>67</v>
      </c>
      <c r="P69" s="24">
        <v>66</v>
      </c>
      <c r="Q69" s="24">
        <v>50</v>
      </c>
      <c r="R69" s="24">
        <v>16</v>
      </c>
      <c r="S69" s="24">
        <v>0</v>
      </c>
    </row>
    <row r="70" spans="2:19" x14ac:dyDescent="0.25">
      <c r="B70" s="20" t="s">
        <v>170</v>
      </c>
      <c r="C70" s="24">
        <v>1146</v>
      </c>
      <c r="D70" s="24">
        <v>1118</v>
      </c>
      <c r="E70" s="30">
        <v>0.9755671902268761</v>
      </c>
      <c r="F70" s="24">
        <v>1021</v>
      </c>
      <c r="G70" s="30">
        <v>0.91323792486583188</v>
      </c>
      <c r="H70" s="24">
        <v>97</v>
      </c>
      <c r="I70" s="30">
        <v>8.6762075134168157E-2</v>
      </c>
      <c r="J70" s="24">
        <v>5</v>
      </c>
      <c r="K70" s="30">
        <v>2.006980802792321E-2</v>
      </c>
      <c r="L70" s="30">
        <v>0.94440255754635394</v>
      </c>
      <c r="N70" s="20" t="s">
        <v>170</v>
      </c>
      <c r="O70" s="24">
        <v>168</v>
      </c>
      <c r="P70" s="24">
        <v>167</v>
      </c>
      <c r="Q70" s="24">
        <v>137</v>
      </c>
      <c r="R70" s="24">
        <v>30</v>
      </c>
      <c r="S70" s="24">
        <v>0</v>
      </c>
    </row>
    <row r="71" spans="2:19" x14ac:dyDescent="0.25">
      <c r="B71" s="20" t="s">
        <v>120</v>
      </c>
      <c r="C71" s="24">
        <v>784</v>
      </c>
      <c r="D71" s="24">
        <v>753</v>
      </c>
      <c r="E71" s="30">
        <v>0.96045918367346939</v>
      </c>
      <c r="F71" s="24">
        <v>594</v>
      </c>
      <c r="G71" s="30">
        <v>0.78884462151394419</v>
      </c>
      <c r="H71" s="24">
        <v>159</v>
      </c>
      <c r="I71" s="30">
        <v>0.21115537848605578</v>
      </c>
      <c r="J71" s="24">
        <v>13</v>
      </c>
      <c r="K71" s="30">
        <v>2.2959183673469389E-2</v>
      </c>
      <c r="L71" s="30">
        <v>0.87465190259370673</v>
      </c>
      <c r="N71" s="20" t="s">
        <v>120</v>
      </c>
      <c r="O71" s="24">
        <v>152</v>
      </c>
      <c r="P71" s="24">
        <v>146</v>
      </c>
      <c r="Q71" s="24">
        <v>109</v>
      </c>
      <c r="R71" s="24">
        <v>37</v>
      </c>
      <c r="S71" s="24">
        <v>3</v>
      </c>
    </row>
    <row r="72" spans="2:19" x14ac:dyDescent="0.25">
      <c r="B72" s="20" t="s">
        <v>181</v>
      </c>
      <c r="C72" s="24">
        <v>37</v>
      </c>
      <c r="D72" s="24">
        <v>35</v>
      </c>
      <c r="E72" s="30">
        <v>0.94594594594594594</v>
      </c>
      <c r="F72" s="24">
        <v>32</v>
      </c>
      <c r="G72" s="30">
        <v>0.91428571428571426</v>
      </c>
      <c r="H72" s="24">
        <v>3</v>
      </c>
      <c r="I72" s="30">
        <v>8.5714285714285715E-2</v>
      </c>
      <c r="J72" s="24">
        <v>0</v>
      </c>
      <c r="K72" s="30">
        <v>5.4054054054054057E-2</v>
      </c>
      <c r="L72" s="30">
        <v>0.9301158301158301</v>
      </c>
      <c r="N72" s="20" t="s">
        <v>181</v>
      </c>
      <c r="O72" s="24">
        <v>1</v>
      </c>
      <c r="P72" s="24">
        <v>1</v>
      </c>
      <c r="Q72" s="24">
        <v>1</v>
      </c>
      <c r="R72" s="24">
        <v>0</v>
      </c>
      <c r="S72" s="24">
        <v>0</v>
      </c>
    </row>
    <row r="73" spans="2:19" x14ac:dyDescent="0.25">
      <c r="B73" s="20" t="s">
        <v>179</v>
      </c>
      <c r="C73" s="24">
        <v>311</v>
      </c>
      <c r="D73" s="24">
        <v>302</v>
      </c>
      <c r="E73" s="30">
        <v>0.97106109324758838</v>
      </c>
      <c r="F73" s="24">
        <v>245</v>
      </c>
      <c r="G73" s="30">
        <v>0.8112582781456954</v>
      </c>
      <c r="H73" s="24">
        <v>57</v>
      </c>
      <c r="I73" s="30">
        <v>0.18874172185430463</v>
      </c>
      <c r="J73" s="24">
        <v>0</v>
      </c>
      <c r="K73" s="30">
        <v>2.8938906752411574E-2</v>
      </c>
      <c r="L73" s="30">
        <v>0.89115968569664195</v>
      </c>
      <c r="N73" s="20" t="s">
        <v>179</v>
      </c>
      <c r="O73" s="24">
        <v>51</v>
      </c>
      <c r="P73" s="24">
        <v>50</v>
      </c>
      <c r="Q73" s="24">
        <v>41</v>
      </c>
      <c r="R73" s="24">
        <v>9</v>
      </c>
      <c r="S73" s="24">
        <v>0</v>
      </c>
    </row>
    <row r="74" spans="2:19" x14ac:dyDescent="0.25">
      <c r="B74" s="20" t="s">
        <v>86</v>
      </c>
      <c r="C74" s="24">
        <v>1056</v>
      </c>
      <c r="D74" s="24">
        <v>1042</v>
      </c>
      <c r="E74" s="30">
        <v>0.9867424242424242</v>
      </c>
      <c r="F74" s="24">
        <v>927</v>
      </c>
      <c r="G74" s="30">
        <v>0.88963531669865648</v>
      </c>
      <c r="H74" s="24">
        <v>115</v>
      </c>
      <c r="I74" s="30">
        <v>0.11036468330134357</v>
      </c>
      <c r="J74" s="24">
        <v>2</v>
      </c>
      <c r="K74" s="30">
        <v>1.1363636363636364E-2</v>
      </c>
      <c r="L74" s="30">
        <v>0.93818887047054034</v>
      </c>
      <c r="N74" s="20" t="s">
        <v>86</v>
      </c>
      <c r="O74" s="24">
        <v>112</v>
      </c>
      <c r="P74" s="24">
        <v>111</v>
      </c>
      <c r="Q74" s="24">
        <v>97</v>
      </c>
      <c r="R74" s="24">
        <v>14</v>
      </c>
      <c r="S74" s="24">
        <v>0</v>
      </c>
    </row>
    <row r="75" spans="2:19" x14ac:dyDescent="0.25">
      <c r="B75" s="20" t="s">
        <v>154</v>
      </c>
      <c r="C75" s="24">
        <v>410</v>
      </c>
      <c r="D75" s="24">
        <v>400</v>
      </c>
      <c r="E75" s="30">
        <v>0.97560975609756095</v>
      </c>
      <c r="F75" s="24">
        <v>318</v>
      </c>
      <c r="G75" s="30">
        <v>0.79500000000000004</v>
      </c>
      <c r="H75" s="24">
        <v>82</v>
      </c>
      <c r="I75" s="30">
        <v>0.20499999999999999</v>
      </c>
      <c r="J75" s="24">
        <v>1</v>
      </c>
      <c r="K75" s="30">
        <v>2.1951219512195121E-2</v>
      </c>
      <c r="L75" s="30">
        <v>0.88530487804878044</v>
      </c>
      <c r="N75" s="20" t="s">
        <v>154</v>
      </c>
      <c r="O75" s="24">
        <v>71</v>
      </c>
      <c r="P75" s="24">
        <v>70</v>
      </c>
      <c r="Q75" s="24">
        <v>48</v>
      </c>
      <c r="R75" s="24">
        <v>22</v>
      </c>
      <c r="S75" s="24">
        <v>0</v>
      </c>
    </row>
    <row r="76" spans="2:19" x14ac:dyDescent="0.25">
      <c r="B76" s="20" t="s">
        <v>140</v>
      </c>
      <c r="C76" s="24">
        <v>214</v>
      </c>
      <c r="D76" s="24">
        <v>204</v>
      </c>
      <c r="E76" s="30">
        <v>0.95327102803738317</v>
      </c>
      <c r="F76" s="24">
        <v>157</v>
      </c>
      <c r="G76" s="30">
        <v>0.76960784313725494</v>
      </c>
      <c r="H76" s="24">
        <v>47</v>
      </c>
      <c r="I76" s="30">
        <v>0.23039215686274508</v>
      </c>
      <c r="J76" s="24">
        <v>0</v>
      </c>
      <c r="K76" s="30">
        <v>4.6728971962616821E-2</v>
      </c>
      <c r="L76" s="30">
        <v>0.86143943558731906</v>
      </c>
      <c r="N76" s="20" t="s">
        <v>140</v>
      </c>
      <c r="O76" s="24">
        <v>17</v>
      </c>
      <c r="P76" s="24">
        <v>13</v>
      </c>
      <c r="Q76" s="24">
        <v>9</v>
      </c>
      <c r="R76" s="24">
        <v>4</v>
      </c>
      <c r="S76" s="24">
        <v>0</v>
      </c>
    </row>
    <row r="77" spans="2:19" x14ac:dyDescent="0.25">
      <c r="B77" s="20" t="s">
        <v>48</v>
      </c>
      <c r="C77" s="24">
        <v>248</v>
      </c>
      <c r="D77" s="24">
        <v>244</v>
      </c>
      <c r="E77" s="30">
        <v>0.9838709677419355</v>
      </c>
      <c r="F77" s="24">
        <v>221</v>
      </c>
      <c r="G77" s="30">
        <v>0.90573770491803274</v>
      </c>
      <c r="H77" s="24">
        <v>23</v>
      </c>
      <c r="I77" s="30">
        <v>9.4262295081967207E-2</v>
      </c>
      <c r="J77" s="24">
        <v>0</v>
      </c>
      <c r="K77" s="30">
        <v>1.6129032258064516E-2</v>
      </c>
      <c r="L77" s="30">
        <v>0.94480433632998406</v>
      </c>
      <c r="N77" s="20" t="s">
        <v>48</v>
      </c>
      <c r="O77" s="24">
        <v>11</v>
      </c>
      <c r="P77" s="24">
        <v>11</v>
      </c>
      <c r="Q77" s="24">
        <v>8</v>
      </c>
      <c r="R77" s="24">
        <v>3</v>
      </c>
      <c r="S77" s="24">
        <v>0</v>
      </c>
    </row>
    <row r="78" spans="2:19" x14ac:dyDescent="0.25">
      <c r="B78" s="20" t="s">
        <v>166</v>
      </c>
      <c r="C78" s="24">
        <v>339</v>
      </c>
      <c r="D78" s="24">
        <v>324</v>
      </c>
      <c r="E78" s="30">
        <v>0.95575221238938057</v>
      </c>
      <c r="F78" s="24">
        <v>223</v>
      </c>
      <c r="G78" s="30">
        <v>0.68827160493827155</v>
      </c>
      <c r="H78" s="24">
        <v>101</v>
      </c>
      <c r="I78" s="30">
        <v>0.31172839506172839</v>
      </c>
      <c r="J78" s="24">
        <v>1</v>
      </c>
      <c r="K78" s="30">
        <v>4.1297935103244837E-2</v>
      </c>
      <c r="L78" s="30">
        <v>0.82201190866382601</v>
      </c>
      <c r="N78" s="20" t="s">
        <v>166</v>
      </c>
      <c r="O78" s="24">
        <v>98</v>
      </c>
      <c r="P78" s="24">
        <v>95</v>
      </c>
      <c r="Q78" s="24">
        <v>67</v>
      </c>
      <c r="R78" s="24">
        <v>28</v>
      </c>
      <c r="S78" s="24">
        <v>0</v>
      </c>
    </row>
    <row r="79" spans="2:19" x14ac:dyDescent="0.25">
      <c r="B79" s="20" t="s">
        <v>92</v>
      </c>
      <c r="C79" s="24">
        <v>219</v>
      </c>
      <c r="D79" s="24">
        <v>216</v>
      </c>
      <c r="E79" s="30">
        <v>0.98630136986301364</v>
      </c>
      <c r="F79" s="24">
        <v>209</v>
      </c>
      <c r="G79" s="30">
        <v>0.96759259259259256</v>
      </c>
      <c r="H79" s="24">
        <v>7</v>
      </c>
      <c r="I79" s="30">
        <v>3.2407407407407406E-2</v>
      </c>
      <c r="J79" s="24">
        <v>1</v>
      </c>
      <c r="K79" s="30">
        <v>9.1324200913242004E-3</v>
      </c>
      <c r="L79" s="30">
        <v>0.9769469812278031</v>
      </c>
      <c r="N79" s="20" t="s">
        <v>92</v>
      </c>
      <c r="O79" s="24">
        <v>6</v>
      </c>
      <c r="P79" s="24">
        <v>5</v>
      </c>
      <c r="Q79" s="24">
        <v>4</v>
      </c>
      <c r="R79" s="24">
        <v>1</v>
      </c>
      <c r="S79" s="24">
        <v>0</v>
      </c>
    </row>
    <row r="80" spans="2:19" x14ac:dyDescent="0.25">
      <c r="B80" s="20" t="s">
        <v>57</v>
      </c>
      <c r="C80" s="24">
        <v>130</v>
      </c>
      <c r="D80" s="24">
        <v>127</v>
      </c>
      <c r="E80" s="30">
        <v>0.97692307692307689</v>
      </c>
      <c r="F80" s="24">
        <v>125</v>
      </c>
      <c r="G80" s="30">
        <v>0.98425196850393704</v>
      </c>
      <c r="H80" s="24">
        <v>2</v>
      </c>
      <c r="I80" s="30">
        <v>1.5748031496062992E-2</v>
      </c>
      <c r="J80" s="24">
        <v>2</v>
      </c>
      <c r="K80" s="30">
        <v>7.6923076923076927E-3</v>
      </c>
      <c r="L80" s="30">
        <v>0.98058752271350702</v>
      </c>
      <c r="N80" s="20" t="s">
        <v>57</v>
      </c>
      <c r="O80" s="24">
        <v>4</v>
      </c>
      <c r="P80" s="24">
        <v>4</v>
      </c>
      <c r="Q80" s="24">
        <v>4</v>
      </c>
      <c r="R80" s="24">
        <v>0</v>
      </c>
      <c r="S80" s="24">
        <v>0</v>
      </c>
    </row>
    <row r="81" spans="2:19" x14ac:dyDescent="0.25">
      <c r="B81" s="20" t="s">
        <v>40</v>
      </c>
      <c r="C81" s="24">
        <v>319</v>
      </c>
      <c r="D81" s="24">
        <v>285</v>
      </c>
      <c r="E81" s="30">
        <v>0.89341692789968652</v>
      </c>
      <c r="F81" s="24">
        <v>274</v>
      </c>
      <c r="G81" s="30">
        <v>0.96140350877192982</v>
      </c>
      <c r="H81" s="24">
        <v>11</v>
      </c>
      <c r="I81" s="30">
        <v>3.8596491228070177E-2</v>
      </c>
      <c r="J81" s="24">
        <v>0</v>
      </c>
      <c r="K81" s="30">
        <v>0.10658307210031348</v>
      </c>
      <c r="L81" s="30">
        <v>0.92741021833580817</v>
      </c>
      <c r="N81" s="20" t="s">
        <v>40</v>
      </c>
      <c r="O81" s="24">
        <v>31</v>
      </c>
      <c r="P81" s="24">
        <v>28</v>
      </c>
      <c r="Q81" s="24">
        <v>25</v>
      </c>
      <c r="R81" s="24">
        <v>3</v>
      </c>
      <c r="S81" s="24">
        <v>0</v>
      </c>
    </row>
    <row r="82" spans="2:19" x14ac:dyDescent="0.25">
      <c r="B82" s="20" t="s">
        <v>41</v>
      </c>
      <c r="C82" s="24">
        <v>118</v>
      </c>
      <c r="D82" s="24">
        <v>117</v>
      </c>
      <c r="E82" s="30">
        <v>0.99152542372881358</v>
      </c>
      <c r="F82" s="24">
        <v>103</v>
      </c>
      <c r="G82" s="30">
        <v>0.88034188034188032</v>
      </c>
      <c r="H82" s="24">
        <v>14</v>
      </c>
      <c r="I82" s="30">
        <v>0.11965811965811966</v>
      </c>
      <c r="J82" s="24">
        <v>0</v>
      </c>
      <c r="K82" s="30">
        <v>8.4745762711864406E-3</v>
      </c>
      <c r="L82" s="30">
        <v>0.93593365203534695</v>
      </c>
      <c r="N82" s="20" t="s">
        <v>41</v>
      </c>
      <c r="O82" s="24">
        <v>22</v>
      </c>
      <c r="P82" s="24">
        <v>22</v>
      </c>
      <c r="Q82" s="24">
        <v>20</v>
      </c>
      <c r="R82" s="24">
        <v>2</v>
      </c>
      <c r="S82" s="24">
        <v>0</v>
      </c>
    </row>
    <row r="83" spans="2:19" x14ac:dyDescent="0.25">
      <c r="B83" s="20" t="s">
        <v>102</v>
      </c>
      <c r="C83" s="24">
        <v>348</v>
      </c>
      <c r="D83" s="24">
        <v>340</v>
      </c>
      <c r="E83" s="30">
        <v>0.97701149425287359</v>
      </c>
      <c r="F83" s="24">
        <v>308</v>
      </c>
      <c r="G83" s="30">
        <v>0.90588235294117647</v>
      </c>
      <c r="H83" s="24">
        <v>32</v>
      </c>
      <c r="I83" s="30">
        <v>9.4117647058823528E-2</v>
      </c>
      <c r="J83" s="24">
        <v>0</v>
      </c>
      <c r="K83" s="30">
        <v>2.2988505747126436E-2</v>
      </c>
      <c r="L83" s="30">
        <v>0.94144692359702509</v>
      </c>
      <c r="N83" s="20" t="s">
        <v>102</v>
      </c>
      <c r="O83" s="24">
        <v>23</v>
      </c>
      <c r="P83" s="24">
        <v>23</v>
      </c>
      <c r="Q83" s="24">
        <v>19</v>
      </c>
      <c r="R83" s="24">
        <v>4</v>
      </c>
      <c r="S83" s="24">
        <v>0</v>
      </c>
    </row>
    <row r="84" spans="2:19" x14ac:dyDescent="0.25">
      <c r="B84" s="20" t="s">
        <v>148</v>
      </c>
      <c r="C84" s="24">
        <v>1021</v>
      </c>
      <c r="D84" s="24">
        <v>997</v>
      </c>
      <c r="E84" s="30">
        <v>0.97649363369245834</v>
      </c>
      <c r="F84" s="24">
        <v>892</v>
      </c>
      <c r="G84" s="30">
        <v>0.8946840521564694</v>
      </c>
      <c r="H84" s="24">
        <v>105</v>
      </c>
      <c r="I84" s="30">
        <v>0.10531594784353059</v>
      </c>
      <c r="J84" s="24">
        <v>1</v>
      </c>
      <c r="K84" s="30">
        <v>2.2526934378060724E-2</v>
      </c>
      <c r="L84" s="30">
        <v>0.93558884292446387</v>
      </c>
      <c r="N84" s="20" t="s">
        <v>148</v>
      </c>
      <c r="O84" s="24">
        <v>101</v>
      </c>
      <c r="P84" s="24">
        <v>100</v>
      </c>
      <c r="Q84" s="24">
        <v>85</v>
      </c>
      <c r="R84" s="24">
        <v>15</v>
      </c>
      <c r="S84" s="24">
        <v>0</v>
      </c>
    </row>
    <row r="85" spans="2:19" x14ac:dyDescent="0.25">
      <c r="B85" s="20" t="s">
        <v>135</v>
      </c>
      <c r="C85" s="24">
        <v>664</v>
      </c>
      <c r="D85" s="24">
        <v>644</v>
      </c>
      <c r="E85" s="30">
        <v>0.96987951807228912</v>
      </c>
      <c r="F85" s="24">
        <v>600</v>
      </c>
      <c r="G85" s="30">
        <v>0.93167701863354035</v>
      </c>
      <c r="H85" s="24">
        <v>44</v>
      </c>
      <c r="I85" s="30">
        <v>6.8322981366459631E-2</v>
      </c>
      <c r="J85" s="24">
        <v>0</v>
      </c>
      <c r="K85" s="30">
        <v>3.0120481927710843E-2</v>
      </c>
      <c r="L85" s="30">
        <v>0.95077826835291468</v>
      </c>
      <c r="N85" s="20" t="s">
        <v>135</v>
      </c>
      <c r="O85" s="24">
        <v>49</v>
      </c>
      <c r="P85" s="24">
        <v>47</v>
      </c>
      <c r="Q85" s="24">
        <v>44</v>
      </c>
      <c r="R85" s="24">
        <v>3</v>
      </c>
      <c r="S85" s="24">
        <v>0</v>
      </c>
    </row>
    <row r="86" spans="2:19" x14ac:dyDescent="0.25">
      <c r="B86" s="20" t="s">
        <v>34</v>
      </c>
      <c r="C86" s="24">
        <v>480</v>
      </c>
      <c r="D86" s="24">
        <v>388</v>
      </c>
      <c r="E86" s="30">
        <v>0.80833333333333335</v>
      </c>
      <c r="F86" s="24">
        <v>350</v>
      </c>
      <c r="G86" s="30">
        <v>0.90206185567010311</v>
      </c>
      <c r="H86" s="24">
        <v>38</v>
      </c>
      <c r="I86" s="30">
        <v>9.7938144329896906E-2</v>
      </c>
      <c r="J86" s="24">
        <v>1</v>
      </c>
      <c r="K86" s="30">
        <v>0.18958333333333333</v>
      </c>
      <c r="L86" s="30">
        <v>0.85519759450171828</v>
      </c>
      <c r="N86" s="20" t="s">
        <v>34</v>
      </c>
      <c r="O86" s="24">
        <v>32</v>
      </c>
      <c r="P86" s="24">
        <v>32</v>
      </c>
      <c r="Q86" s="24">
        <v>26</v>
      </c>
      <c r="R86" s="24">
        <v>6</v>
      </c>
      <c r="S86" s="24">
        <v>0</v>
      </c>
    </row>
    <row r="87" spans="2:19" x14ac:dyDescent="0.25">
      <c r="B87" s="20" t="s">
        <v>145</v>
      </c>
      <c r="C87" s="24">
        <v>871</v>
      </c>
      <c r="D87" s="24">
        <v>819</v>
      </c>
      <c r="E87" s="30">
        <v>0.94029850746268662</v>
      </c>
      <c r="F87" s="24">
        <v>740</v>
      </c>
      <c r="G87" s="30">
        <v>0.90354090354090355</v>
      </c>
      <c r="H87" s="24">
        <v>79</v>
      </c>
      <c r="I87" s="30">
        <v>9.6459096459096463E-2</v>
      </c>
      <c r="J87" s="24">
        <v>1</v>
      </c>
      <c r="K87" s="30">
        <v>5.8553386911595867E-2</v>
      </c>
      <c r="L87" s="30">
        <v>0.92191970550179514</v>
      </c>
      <c r="N87" s="20" t="s">
        <v>145</v>
      </c>
      <c r="O87" s="24">
        <v>85</v>
      </c>
      <c r="P87" s="24">
        <v>80</v>
      </c>
      <c r="Q87" s="24">
        <v>74</v>
      </c>
      <c r="R87" s="24">
        <v>6</v>
      </c>
      <c r="S87" s="24">
        <v>0</v>
      </c>
    </row>
    <row r="88" spans="2:19" x14ac:dyDescent="0.25">
      <c r="B88" s="20" t="s">
        <v>42</v>
      </c>
      <c r="C88" s="24">
        <v>243</v>
      </c>
      <c r="D88" s="24">
        <v>238</v>
      </c>
      <c r="E88" s="30">
        <v>0.97942386831275718</v>
      </c>
      <c r="F88" s="24">
        <v>205</v>
      </c>
      <c r="G88" s="30">
        <v>0.8613445378151261</v>
      </c>
      <c r="H88" s="24">
        <v>33</v>
      </c>
      <c r="I88" s="30">
        <v>0.13865546218487396</v>
      </c>
      <c r="J88" s="24">
        <v>0</v>
      </c>
      <c r="K88" s="30">
        <v>2.0576131687242798E-2</v>
      </c>
      <c r="L88" s="30">
        <v>0.92038420306394164</v>
      </c>
      <c r="N88" s="20" t="s">
        <v>42</v>
      </c>
      <c r="O88" s="24">
        <v>57</v>
      </c>
      <c r="P88" s="24">
        <v>55</v>
      </c>
      <c r="Q88" s="24">
        <v>45</v>
      </c>
      <c r="R88" s="24">
        <v>10</v>
      </c>
      <c r="S88" s="24">
        <v>0</v>
      </c>
    </row>
    <row r="89" spans="2:19" x14ac:dyDescent="0.25">
      <c r="B89" s="20" t="s">
        <v>58</v>
      </c>
      <c r="C89" s="24">
        <v>378</v>
      </c>
      <c r="D89" s="24">
        <v>369</v>
      </c>
      <c r="E89" s="30">
        <v>0.97619047619047616</v>
      </c>
      <c r="F89" s="24">
        <v>346</v>
      </c>
      <c r="G89" s="30">
        <v>0.93766937669376693</v>
      </c>
      <c r="H89" s="24">
        <v>23</v>
      </c>
      <c r="I89" s="30">
        <v>6.2330623306233061E-2</v>
      </c>
      <c r="J89" s="24">
        <v>2</v>
      </c>
      <c r="K89" s="30">
        <v>1.8518518518518517E-2</v>
      </c>
      <c r="L89" s="30">
        <v>0.9569299264421216</v>
      </c>
      <c r="N89" s="20" t="s">
        <v>58</v>
      </c>
      <c r="O89" s="24">
        <v>37</v>
      </c>
      <c r="P89" s="24">
        <v>33</v>
      </c>
      <c r="Q89" s="24">
        <v>28</v>
      </c>
      <c r="R89" s="24">
        <v>5</v>
      </c>
      <c r="S89" s="24">
        <v>2</v>
      </c>
    </row>
    <row r="90" spans="2:19" x14ac:dyDescent="0.25">
      <c r="B90" s="20" t="s">
        <v>144</v>
      </c>
      <c r="C90" s="24">
        <v>345</v>
      </c>
      <c r="D90" s="24">
        <v>304</v>
      </c>
      <c r="E90" s="30">
        <v>0.88115942028985506</v>
      </c>
      <c r="F90" s="24">
        <v>259</v>
      </c>
      <c r="G90" s="30">
        <v>0.85197368421052633</v>
      </c>
      <c r="H90" s="24">
        <v>45</v>
      </c>
      <c r="I90" s="30">
        <v>0.14802631578947367</v>
      </c>
      <c r="J90" s="24">
        <v>0</v>
      </c>
      <c r="K90" s="30">
        <v>0.11884057971014493</v>
      </c>
      <c r="L90" s="30">
        <v>0.86656655225019064</v>
      </c>
      <c r="N90" s="20" t="s">
        <v>144</v>
      </c>
      <c r="O90" s="24">
        <v>48</v>
      </c>
      <c r="P90" s="24">
        <v>48</v>
      </c>
      <c r="Q90" s="24">
        <v>39</v>
      </c>
      <c r="R90" s="24">
        <v>9</v>
      </c>
      <c r="S90" s="24">
        <v>0</v>
      </c>
    </row>
    <row r="91" spans="2:19" x14ac:dyDescent="0.25">
      <c r="B91" s="20" t="s">
        <v>28</v>
      </c>
      <c r="C91" s="24">
        <v>799</v>
      </c>
      <c r="D91" s="24">
        <v>782</v>
      </c>
      <c r="E91" s="30">
        <v>0.97872340425531912</v>
      </c>
      <c r="F91" s="24">
        <v>706</v>
      </c>
      <c r="G91" s="30">
        <v>0.90281329923273657</v>
      </c>
      <c r="H91" s="24">
        <v>76</v>
      </c>
      <c r="I91" s="30">
        <v>9.718670076726342E-2</v>
      </c>
      <c r="J91" s="24">
        <v>1</v>
      </c>
      <c r="K91" s="30">
        <v>2.002503128911139E-2</v>
      </c>
      <c r="L91" s="30">
        <v>0.94076835174402784</v>
      </c>
      <c r="N91" s="20" t="s">
        <v>28</v>
      </c>
      <c r="O91" s="24">
        <v>54</v>
      </c>
      <c r="P91" s="24">
        <v>52</v>
      </c>
      <c r="Q91" s="24">
        <v>43</v>
      </c>
      <c r="R91" s="24">
        <v>9</v>
      </c>
      <c r="S91" s="24">
        <v>0</v>
      </c>
    </row>
    <row r="92" spans="2:19" x14ac:dyDescent="0.25">
      <c r="B92" s="20" t="s">
        <v>118</v>
      </c>
      <c r="C92" s="24">
        <v>219</v>
      </c>
      <c r="D92" s="24">
        <v>209</v>
      </c>
      <c r="E92" s="30">
        <v>0.954337899543379</v>
      </c>
      <c r="F92" s="24">
        <v>192</v>
      </c>
      <c r="G92" s="30">
        <v>0.91866028708133973</v>
      </c>
      <c r="H92" s="24">
        <v>17</v>
      </c>
      <c r="I92" s="30">
        <v>8.1339712918660281E-2</v>
      </c>
      <c r="J92" s="24">
        <v>0</v>
      </c>
      <c r="K92" s="30">
        <v>4.5662100456621002E-2</v>
      </c>
      <c r="L92" s="30">
        <v>0.93649909331235937</v>
      </c>
      <c r="N92" s="20" t="s">
        <v>118</v>
      </c>
      <c r="O92" s="24">
        <v>23</v>
      </c>
      <c r="P92" s="24">
        <v>19</v>
      </c>
      <c r="Q92" s="24">
        <v>16</v>
      </c>
      <c r="R92" s="24">
        <v>3</v>
      </c>
      <c r="S92" s="24">
        <v>0</v>
      </c>
    </row>
    <row r="93" spans="2:19" x14ac:dyDescent="0.25">
      <c r="B93" s="20" t="s">
        <v>125</v>
      </c>
      <c r="C93" s="24">
        <v>241</v>
      </c>
      <c r="D93" s="24">
        <v>237</v>
      </c>
      <c r="E93" s="30">
        <v>0.98340248962655596</v>
      </c>
      <c r="F93" s="24">
        <v>231</v>
      </c>
      <c r="G93" s="30">
        <v>0.97468354430379744</v>
      </c>
      <c r="H93" s="24">
        <v>6</v>
      </c>
      <c r="I93" s="30">
        <v>2.5316455696202531E-2</v>
      </c>
      <c r="J93" s="24">
        <v>0</v>
      </c>
      <c r="K93" s="30">
        <v>1.6597510373443983E-2</v>
      </c>
      <c r="L93" s="30">
        <v>0.9790430169651767</v>
      </c>
      <c r="N93" s="20" t="s">
        <v>125</v>
      </c>
      <c r="O93" s="24">
        <v>2</v>
      </c>
      <c r="P93" s="24">
        <v>2</v>
      </c>
      <c r="Q93" s="24">
        <v>1</v>
      </c>
      <c r="R93" s="24">
        <v>1</v>
      </c>
      <c r="S93" s="24">
        <v>0</v>
      </c>
    </row>
    <row r="94" spans="2:19" x14ac:dyDescent="0.25">
      <c r="B94" s="20" t="s">
        <v>87</v>
      </c>
      <c r="C94" s="24">
        <v>241</v>
      </c>
      <c r="D94" s="24">
        <v>221</v>
      </c>
      <c r="E94" s="30">
        <v>0.91701244813278004</v>
      </c>
      <c r="F94" s="24">
        <v>192</v>
      </c>
      <c r="G94" s="30">
        <v>0.86877828054298645</v>
      </c>
      <c r="H94" s="24">
        <v>29</v>
      </c>
      <c r="I94" s="30">
        <v>0.13122171945701358</v>
      </c>
      <c r="J94" s="24">
        <v>1</v>
      </c>
      <c r="K94" s="30">
        <v>7.8838174273858919E-2</v>
      </c>
      <c r="L94" s="30">
        <v>0.89289536433788319</v>
      </c>
      <c r="N94" s="20" t="s">
        <v>87</v>
      </c>
      <c r="O94" s="24">
        <v>19</v>
      </c>
      <c r="P94" s="24">
        <v>18</v>
      </c>
      <c r="Q94" s="24">
        <v>15</v>
      </c>
      <c r="R94" s="24">
        <v>3</v>
      </c>
      <c r="S94" s="24">
        <v>0</v>
      </c>
    </row>
    <row r="95" spans="2:19" x14ac:dyDescent="0.25">
      <c r="B95" s="20" t="s">
        <v>155</v>
      </c>
      <c r="C95" s="24">
        <v>990</v>
      </c>
      <c r="D95" s="24">
        <v>971</v>
      </c>
      <c r="E95" s="30">
        <v>0.9808080808080808</v>
      </c>
      <c r="F95" s="24">
        <v>822</v>
      </c>
      <c r="G95" s="30">
        <v>0.84654994850669418</v>
      </c>
      <c r="H95" s="24">
        <v>149</v>
      </c>
      <c r="I95" s="30">
        <v>0.15345005149330587</v>
      </c>
      <c r="J95" s="24">
        <v>4</v>
      </c>
      <c r="K95" s="30">
        <v>1.5151515151515152E-2</v>
      </c>
      <c r="L95" s="30">
        <v>0.91367901465738743</v>
      </c>
      <c r="N95" s="20" t="s">
        <v>155</v>
      </c>
      <c r="O95" s="24">
        <v>169</v>
      </c>
      <c r="P95" s="24">
        <v>167</v>
      </c>
      <c r="Q95" s="24">
        <v>144</v>
      </c>
      <c r="R95" s="24">
        <v>23</v>
      </c>
      <c r="S95" s="24">
        <v>0</v>
      </c>
    </row>
    <row r="96" spans="2:19" x14ac:dyDescent="0.25">
      <c r="B96" s="20" t="s">
        <v>81</v>
      </c>
      <c r="C96" s="24">
        <v>122</v>
      </c>
      <c r="D96" s="24">
        <v>117</v>
      </c>
      <c r="E96" s="30">
        <v>0.95901639344262291</v>
      </c>
      <c r="F96" s="24">
        <v>91</v>
      </c>
      <c r="G96" s="30">
        <v>0.77777777777777779</v>
      </c>
      <c r="H96" s="24">
        <v>26</v>
      </c>
      <c r="I96" s="30">
        <v>0.22222222222222221</v>
      </c>
      <c r="J96" s="24">
        <v>0</v>
      </c>
      <c r="K96" s="30">
        <v>4.0983606557377046E-2</v>
      </c>
      <c r="L96" s="30">
        <v>0.86839708561020035</v>
      </c>
      <c r="N96" s="20" t="s">
        <v>81</v>
      </c>
      <c r="O96" s="24">
        <v>24</v>
      </c>
      <c r="P96" s="24">
        <v>23</v>
      </c>
      <c r="Q96" s="24">
        <v>18</v>
      </c>
      <c r="R96" s="24">
        <v>5</v>
      </c>
      <c r="S96" s="24">
        <v>0</v>
      </c>
    </row>
    <row r="97" spans="2:19" x14ac:dyDescent="0.25">
      <c r="B97" s="20" t="s">
        <v>66</v>
      </c>
      <c r="C97" s="24">
        <v>440</v>
      </c>
      <c r="D97" s="24">
        <v>431</v>
      </c>
      <c r="E97" s="30">
        <v>0.9795454545454545</v>
      </c>
      <c r="F97" s="24">
        <v>398</v>
      </c>
      <c r="G97" s="30">
        <v>0.92343387470997684</v>
      </c>
      <c r="H97" s="24">
        <v>33</v>
      </c>
      <c r="I97" s="30">
        <v>7.6566125290023199E-2</v>
      </c>
      <c r="J97" s="24">
        <v>7</v>
      </c>
      <c r="K97" s="30">
        <v>4.5454545454545452E-3</v>
      </c>
      <c r="L97" s="30">
        <v>0.95148966462771567</v>
      </c>
      <c r="N97" s="20" t="s">
        <v>66</v>
      </c>
      <c r="O97" s="24">
        <v>33</v>
      </c>
      <c r="P97" s="24">
        <v>32</v>
      </c>
      <c r="Q97" s="24">
        <v>30</v>
      </c>
      <c r="R97" s="24">
        <v>2</v>
      </c>
      <c r="S97" s="24">
        <v>2</v>
      </c>
    </row>
    <row r="98" spans="2:19" x14ac:dyDescent="0.25">
      <c r="B98" s="20" t="s">
        <v>171</v>
      </c>
      <c r="C98" s="24">
        <v>276</v>
      </c>
      <c r="D98" s="24">
        <v>274</v>
      </c>
      <c r="E98" s="30">
        <v>0.99275362318840576</v>
      </c>
      <c r="F98" s="24">
        <v>236</v>
      </c>
      <c r="G98" s="30">
        <v>0.86131386861313863</v>
      </c>
      <c r="H98" s="24">
        <v>38</v>
      </c>
      <c r="I98" s="30">
        <v>0.13868613138686131</v>
      </c>
      <c r="J98" s="24">
        <v>0</v>
      </c>
      <c r="K98" s="30">
        <v>7.246376811594203E-3</v>
      </c>
      <c r="L98" s="30">
        <v>0.92703374590077225</v>
      </c>
      <c r="N98" s="20" t="s">
        <v>171</v>
      </c>
      <c r="O98" s="24">
        <v>24</v>
      </c>
      <c r="P98" s="24">
        <v>24</v>
      </c>
      <c r="Q98" s="24">
        <v>17</v>
      </c>
      <c r="R98" s="24">
        <v>7</v>
      </c>
      <c r="S98" s="24">
        <v>0</v>
      </c>
    </row>
    <row r="99" spans="2:19" x14ac:dyDescent="0.25">
      <c r="B99" s="20" t="s">
        <v>43</v>
      </c>
      <c r="C99" s="24">
        <v>120</v>
      </c>
      <c r="D99" s="24">
        <v>112</v>
      </c>
      <c r="E99" s="30">
        <v>0.93333333333333335</v>
      </c>
      <c r="F99" s="24">
        <v>94</v>
      </c>
      <c r="G99" s="30">
        <v>0.8392857142857143</v>
      </c>
      <c r="H99" s="24">
        <v>18</v>
      </c>
      <c r="I99" s="30">
        <v>0.16071428571428573</v>
      </c>
      <c r="J99" s="24">
        <v>1</v>
      </c>
      <c r="K99" s="30">
        <v>5.8333333333333334E-2</v>
      </c>
      <c r="L99" s="30">
        <v>0.88630952380952377</v>
      </c>
      <c r="N99" s="20" t="s">
        <v>43</v>
      </c>
      <c r="O99" s="24">
        <v>12</v>
      </c>
      <c r="P99" s="24">
        <v>11</v>
      </c>
      <c r="Q99" s="24">
        <v>6</v>
      </c>
      <c r="R99" s="24">
        <v>5</v>
      </c>
      <c r="S99" s="24">
        <v>0</v>
      </c>
    </row>
    <row r="100" spans="2:19" x14ac:dyDescent="0.25">
      <c r="B100" s="20" t="s">
        <v>111</v>
      </c>
      <c r="C100" s="24">
        <v>285</v>
      </c>
      <c r="D100" s="24">
        <v>276</v>
      </c>
      <c r="E100" s="30">
        <v>0.96842105263157896</v>
      </c>
      <c r="F100" s="24">
        <v>232</v>
      </c>
      <c r="G100" s="30">
        <v>0.84057971014492749</v>
      </c>
      <c r="H100" s="24">
        <v>44</v>
      </c>
      <c r="I100" s="30">
        <v>0.15942028985507245</v>
      </c>
      <c r="J100" s="24">
        <v>0</v>
      </c>
      <c r="K100" s="30">
        <v>3.1578947368421054E-2</v>
      </c>
      <c r="L100" s="30">
        <v>0.90450038138825328</v>
      </c>
      <c r="N100" s="20" t="s">
        <v>111</v>
      </c>
      <c r="O100" s="24">
        <v>42</v>
      </c>
      <c r="P100" s="24">
        <v>40</v>
      </c>
      <c r="Q100" s="24">
        <v>28</v>
      </c>
      <c r="R100" s="24">
        <v>12</v>
      </c>
      <c r="S100" s="24">
        <v>0</v>
      </c>
    </row>
    <row r="101" spans="2:19" x14ac:dyDescent="0.25">
      <c r="B101" s="20" t="s">
        <v>35</v>
      </c>
      <c r="C101" s="24">
        <v>427</v>
      </c>
      <c r="D101" s="24">
        <v>417</v>
      </c>
      <c r="E101" s="30">
        <v>0.97658079625292737</v>
      </c>
      <c r="F101" s="24">
        <v>366</v>
      </c>
      <c r="G101" s="30">
        <v>0.87769784172661869</v>
      </c>
      <c r="H101" s="24">
        <v>51</v>
      </c>
      <c r="I101" s="30">
        <v>0.1223021582733813</v>
      </c>
      <c r="J101" s="24">
        <v>3</v>
      </c>
      <c r="K101" s="30">
        <v>1.6393442622950821E-2</v>
      </c>
      <c r="L101" s="30">
        <v>0.92713931898977298</v>
      </c>
      <c r="N101" s="20" t="s">
        <v>35</v>
      </c>
      <c r="O101" s="24">
        <v>61</v>
      </c>
      <c r="P101" s="24">
        <v>61</v>
      </c>
      <c r="Q101" s="24">
        <v>58</v>
      </c>
      <c r="R101" s="24">
        <v>3</v>
      </c>
      <c r="S101" s="24">
        <v>0</v>
      </c>
    </row>
    <row r="102" spans="2:19" x14ac:dyDescent="0.25">
      <c r="B102" s="20" t="s">
        <v>163</v>
      </c>
      <c r="C102" s="24">
        <v>325</v>
      </c>
      <c r="D102" s="24">
        <v>321</v>
      </c>
      <c r="E102" s="30">
        <v>0.98769230769230765</v>
      </c>
      <c r="F102" s="24">
        <v>280</v>
      </c>
      <c r="G102" s="30">
        <v>0.87227414330218067</v>
      </c>
      <c r="H102" s="24">
        <v>41</v>
      </c>
      <c r="I102" s="30">
        <v>0.1277258566978193</v>
      </c>
      <c r="J102" s="24">
        <v>0</v>
      </c>
      <c r="K102" s="30">
        <v>1.2307692307692308E-2</v>
      </c>
      <c r="L102" s="30">
        <v>0.92998322549724421</v>
      </c>
      <c r="N102" s="20" t="s">
        <v>163</v>
      </c>
      <c r="O102" s="24">
        <v>39</v>
      </c>
      <c r="P102" s="24">
        <v>39</v>
      </c>
      <c r="Q102" s="24">
        <v>36</v>
      </c>
      <c r="R102" s="24">
        <v>3</v>
      </c>
      <c r="S102" s="24">
        <v>0</v>
      </c>
    </row>
    <row r="103" spans="2:19" x14ac:dyDescent="0.25">
      <c r="B103" s="20" t="s">
        <v>113</v>
      </c>
      <c r="C103" s="24">
        <v>240</v>
      </c>
      <c r="D103" s="24">
        <v>213</v>
      </c>
      <c r="E103" s="30">
        <v>0.88749999999999996</v>
      </c>
      <c r="F103" s="24">
        <v>185</v>
      </c>
      <c r="G103" s="30">
        <v>0.86854460093896713</v>
      </c>
      <c r="H103" s="24">
        <v>28</v>
      </c>
      <c r="I103" s="30">
        <v>0.13145539906103287</v>
      </c>
      <c r="J103" s="24">
        <v>0</v>
      </c>
      <c r="K103" s="30">
        <v>0.1125</v>
      </c>
      <c r="L103" s="30">
        <v>0.8780223004694836</v>
      </c>
      <c r="N103" s="20" t="s">
        <v>113</v>
      </c>
      <c r="O103" s="24">
        <v>19</v>
      </c>
      <c r="P103" s="24">
        <v>19</v>
      </c>
      <c r="Q103" s="24">
        <v>9</v>
      </c>
      <c r="R103" s="24">
        <v>10</v>
      </c>
      <c r="S103" s="24">
        <v>0</v>
      </c>
    </row>
    <row r="104" spans="2:19" x14ac:dyDescent="0.25">
      <c r="B104" s="20" t="s">
        <v>160</v>
      </c>
      <c r="C104" s="24">
        <v>316</v>
      </c>
      <c r="D104" s="24">
        <v>308</v>
      </c>
      <c r="E104" s="30">
        <v>0.97468354430379744</v>
      </c>
      <c r="F104" s="24">
        <v>288</v>
      </c>
      <c r="G104" s="30">
        <v>0.93506493506493504</v>
      </c>
      <c r="H104" s="24">
        <v>20</v>
      </c>
      <c r="I104" s="30">
        <v>6.4935064935064929E-2</v>
      </c>
      <c r="J104" s="24">
        <v>0</v>
      </c>
      <c r="K104" s="30">
        <v>2.5316455696202531E-2</v>
      </c>
      <c r="L104" s="30">
        <v>0.95487423968436624</v>
      </c>
      <c r="N104" s="20" t="s">
        <v>160</v>
      </c>
      <c r="O104" s="24">
        <v>29</v>
      </c>
      <c r="P104" s="24">
        <v>29</v>
      </c>
      <c r="Q104" s="24">
        <v>24</v>
      </c>
      <c r="R104" s="24">
        <v>5</v>
      </c>
      <c r="S104" s="24">
        <v>0</v>
      </c>
    </row>
    <row r="105" spans="2:19" x14ac:dyDescent="0.25">
      <c r="B105" s="20" t="s">
        <v>36</v>
      </c>
      <c r="C105" s="24">
        <v>231</v>
      </c>
      <c r="D105" s="24">
        <v>226</v>
      </c>
      <c r="E105" s="30">
        <v>0.97835497835497831</v>
      </c>
      <c r="F105" s="24">
        <v>208</v>
      </c>
      <c r="G105" s="30">
        <v>0.92035398230088494</v>
      </c>
      <c r="H105" s="24">
        <v>18</v>
      </c>
      <c r="I105" s="30">
        <v>7.9646017699115043E-2</v>
      </c>
      <c r="J105" s="24">
        <v>0</v>
      </c>
      <c r="K105" s="30">
        <v>2.1645021645021644E-2</v>
      </c>
      <c r="L105" s="30">
        <v>0.94935448032793168</v>
      </c>
      <c r="N105" s="20" t="s">
        <v>36</v>
      </c>
      <c r="O105" s="24">
        <v>10</v>
      </c>
      <c r="P105" s="24">
        <v>10</v>
      </c>
      <c r="Q105" s="24">
        <v>10</v>
      </c>
      <c r="R105" s="24">
        <v>0</v>
      </c>
      <c r="S105" s="24">
        <v>0</v>
      </c>
    </row>
    <row r="106" spans="2:19" x14ac:dyDescent="0.25">
      <c r="B106" s="20" t="s">
        <v>164</v>
      </c>
      <c r="C106" s="24">
        <v>310</v>
      </c>
      <c r="D106" s="24">
        <v>305</v>
      </c>
      <c r="E106" s="30">
        <v>0.9838709677419355</v>
      </c>
      <c r="F106" s="24">
        <v>274</v>
      </c>
      <c r="G106" s="30">
        <v>0.89836065573770496</v>
      </c>
      <c r="H106" s="24">
        <v>31</v>
      </c>
      <c r="I106" s="30">
        <v>0.10163934426229508</v>
      </c>
      <c r="J106" s="24">
        <v>0</v>
      </c>
      <c r="K106" s="30">
        <v>1.6129032258064516E-2</v>
      </c>
      <c r="L106" s="30">
        <v>0.94111581173982017</v>
      </c>
      <c r="N106" s="20" t="s">
        <v>164</v>
      </c>
      <c r="O106" s="24">
        <v>24</v>
      </c>
      <c r="P106" s="24">
        <v>24</v>
      </c>
      <c r="Q106" s="24">
        <v>18</v>
      </c>
      <c r="R106" s="24">
        <v>6</v>
      </c>
      <c r="S106" s="24">
        <v>0</v>
      </c>
    </row>
    <row r="107" spans="2:19" x14ac:dyDescent="0.25">
      <c r="B107" s="20" t="s">
        <v>142</v>
      </c>
      <c r="C107" s="24">
        <v>269</v>
      </c>
      <c r="D107" s="24">
        <v>263</v>
      </c>
      <c r="E107" s="30">
        <v>0.97769516728624539</v>
      </c>
      <c r="F107" s="24">
        <v>259</v>
      </c>
      <c r="G107" s="30">
        <v>0.98479087452471481</v>
      </c>
      <c r="H107" s="24">
        <v>4</v>
      </c>
      <c r="I107" s="30">
        <v>1.5209125475285171E-2</v>
      </c>
      <c r="J107" s="24">
        <v>0</v>
      </c>
      <c r="K107" s="30">
        <v>2.2304832713754646E-2</v>
      </c>
      <c r="L107" s="30">
        <v>0.9812430209054801</v>
      </c>
      <c r="N107" s="20" t="s">
        <v>142</v>
      </c>
      <c r="O107" s="24">
        <v>5</v>
      </c>
      <c r="P107" s="24">
        <v>5</v>
      </c>
      <c r="Q107" s="24">
        <v>5</v>
      </c>
      <c r="R107" s="24">
        <v>0</v>
      </c>
      <c r="S107" s="24">
        <v>0</v>
      </c>
    </row>
    <row r="108" spans="2:19" x14ac:dyDescent="0.25">
      <c r="B108" s="20" t="s">
        <v>105</v>
      </c>
      <c r="C108" s="24">
        <v>104</v>
      </c>
      <c r="D108" s="24">
        <v>100</v>
      </c>
      <c r="E108" s="30">
        <v>0.96153846153846156</v>
      </c>
      <c r="F108" s="24">
        <v>81</v>
      </c>
      <c r="G108" s="30">
        <v>0.81</v>
      </c>
      <c r="H108" s="24">
        <v>19</v>
      </c>
      <c r="I108" s="30">
        <v>0.19</v>
      </c>
      <c r="J108" s="24">
        <v>0</v>
      </c>
      <c r="K108" s="30">
        <v>3.8461538461538464E-2</v>
      </c>
      <c r="L108" s="30">
        <v>0.88576923076923086</v>
      </c>
      <c r="N108" s="20" t="s">
        <v>105</v>
      </c>
      <c r="O108" s="24">
        <v>29</v>
      </c>
      <c r="P108" s="24">
        <v>27</v>
      </c>
      <c r="Q108" s="24">
        <v>24</v>
      </c>
      <c r="R108" s="24">
        <v>3</v>
      </c>
      <c r="S108" s="24">
        <v>0</v>
      </c>
    </row>
    <row r="109" spans="2:19" x14ac:dyDescent="0.25">
      <c r="B109" s="20" t="s">
        <v>172</v>
      </c>
      <c r="C109" s="24">
        <v>136</v>
      </c>
      <c r="D109" s="24">
        <v>133</v>
      </c>
      <c r="E109" s="30">
        <v>0.9779411764705882</v>
      </c>
      <c r="F109" s="24">
        <v>121</v>
      </c>
      <c r="G109" s="30">
        <v>0.90977443609022557</v>
      </c>
      <c r="H109" s="24">
        <v>12</v>
      </c>
      <c r="I109" s="30">
        <v>9.0225563909774431E-2</v>
      </c>
      <c r="J109" s="24">
        <v>1</v>
      </c>
      <c r="K109" s="30">
        <v>1.4705882352941176E-2</v>
      </c>
      <c r="L109" s="30">
        <v>0.94385780628040683</v>
      </c>
      <c r="N109" s="20" t="s">
        <v>172</v>
      </c>
      <c r="O109" s="24">
        <v>12</v>
      </c>
      <c r="P109" s="24">
        <v>12</v>
      </c>
      <c r="Q109" s="24">
        <v>11</v>
      </c>
      <c r="R109" s="24">
        <v>1</v>
      </c>
      <c r="S109" s="24">
        <v>0</v>
      </c>
    </row>
    <row r="110" spans="2:19" x14ac:dyDescent="0.25">
      <c r="B110" s="20" t="s">
        <v>138</v>
      </c>
      <c r="C110" s="24">
        <v>312</v>
      </c>
      <c r="D110" s="24">
        <v>307</v>
      </c>
      <c r="E110" s="30">
        <v>0.98397435897435892</v>
      </c>
      <c r="F110" s="24">
        <v>263</v>
      </c>
      <c r="G110" s="30">
        <v>0.85667752442996747</v>
      </c>
      <c r="H110" s="24">
        <v>44</v>
      </c>
      <c r="I110" s="30">
        <v>0.14332247557003258</v>
      </c>
      <c r="J110" s="24">
        <v>0</v>
      </c>
      <c r="K110" s="30">
        <v>1.6025641025641024E-2</v>
      </c>
      <c r="L110" s="30">
        <v>0.9203259417021632</v>
      </c>
      <c r="N110" s="20" t="s">
        <v>138</v>
      </c>
      <c r="O110" s="24">
        <v>29</v>
      </c>
      <c r="P110" s="24">
        <v>29</v>
      </c>
      <c r="Q110" s="24">
        <v>25</v>
      </c>
      <c r="R110" s="24">
        <v>4</v>
      </c>
      <c r="S110" s="24">
        <v>0</v>
      </c>
    </row>
    <row r="111" spans="2:19" x14ac:dyDescent="0.25">
      <c r="B111" s="20" t="s">
        <v>55</v>
      </c>
      <c r="C111" s="24">
        <v>724</v>
      </c>
      <c r="D111" s="24">
        <v>718</v>
      </c>
      <c r="E111" s="30">
        <v>0.99171270718232041</v>
      </c>
      <c r="F111" s="24">
        <v>658</v>
      </c>
      <c r="G111" s="30">
        <v>0.91643454038997219</v>
      </c>
      <c r="H111" s="24">
        <v>60</v>
      </c>
      <c r="I111" s="30">
        <v>8.3565459610027856E-2</v>
      </c>
      <c r="J111" s="24">
        <v>0</v>
      </c>
      <c r="K111" s="30">
        <v>8.2872928176795577E-3</v>
      </c>
      <c r="L111" s="30">
        <v>0.95407362378614624</v>
      </c>
      <c r="N111" s="20" t="s">
        <v>55</v>
      </c>
      <c r="O111" s="24">
        <v>82</v>
      </c>
      <c r="P111" s="24">
        <v>82</v>
      </c>
      <c r="Q111" s="24">
        <v>73</v>
      </c>
      <c r="R111" s="24">
        <v>9</v>
      </c>
      <c r="S111" s="24">
        <v>0</v>
      </c>
    </row>
    <row r="112" spans="2:19" x14ac:dyDescent="0.25">
      <c r="B112" s="20" t="s">
        <v>82</v>
      </c>
      <c r="C112" s="24">
        <v>172</v>
      </c>
      <c r="D112" s="24">
        <v>170</v>
      </c>
      <c r="E112" s="30">
        <v>0.98837209302325579</v>
      </c>
      <c r="F112" s="24">
        <v>160</v>
      </c>
      <c r="G112" s="30">
        <v>0.94117647058823528</v>
      </c>
      <c r="H112" s="24">
        <v>10</v>
      </c>
      <c r="I112" s="30">
        <v>5.8823529411764705E-2</v>
      </c>
      <c r="J112" s="24">
        <v>0</v>
      </c>
      <c r="K112" s="30">
        <v>1.1627906976744186E-2</v>
      </c>
      <c r="L112" s="30">
        <v>0.96477428180574554</v>
      </c>
      <c r="N112" s="20" t="s">
        <v>82</v>
      </c>
      <c r="O112" s="24">
        <v>16</v>
      </c>
      <c r="P112" s="24">
        <v>16</v>
      </c>
      <c r="Q112" s="24">
        <v>16</v>
      </c>
      <c r="R112" s="24">
        <v>0</v>
      </c>
      <c r="S112" s="24">
        <v>0</v>
      </c>
    </row>
    <row r="113" spans="2:19" x14ac:dyDescent="0.25">
      <c r="B113" s="20" t="s">
        <v>117</v>
      </c>
      <c r="C113" s="24">
        <v>107</v>
      </c>
      <c r="D113" s="24">
        <v>100</v>
      </c>
      <c r="E113" s="30">
        <v>0.93457943925233644</v>
      </c>
      <c r="F113" s="24">
        <v>89</v>
      </c>
      <c r="G113" s="30">
        <v>0.89</v>
      </c>
      <c r="H113" s="24">
        <v>11</v>
      </c>
      <c r="I113" s="30">
        <v>0.11</v>
      </c>
      <c r="J113" s="24">
        <v>0</v>
      </c>
      <c r="K113" s="30">
        <v>6.5420560747663545E-2</v>
      </c>
      <c r="L113" s="30">
        <v>0.91228971962616823</v>
      </c>
      <c r="N113" s="20" t="s">
        <v>117</v>
      </c>
      <c r="O113" s="24">
        <v>10</v>
      </c>
      <c r="P113" s="24">
        <v>10</v>
      </c>
      <c r="Q113" s="24">
        <v>8</v>
      </c>
      <c r="R113" s="24">
        <v>2</v>
      </c>
      <c r="S113" s="24">
        <v>0</v>
      </c>
    </row>
    <row r="114" spans="2:19" x14ac:dyDescent="0.25">
      <c r="B114" s="20" t="s">
        <v>151</v>
      </c>
      <c r="C114" s="24">
        <v>628</v>
      </c>
      <c r="D114" s="24">
        <v>620</v>
      </c>
      <c r="E114" s="30">
        <v>0.98726114649681529</v>
      </c>
      <c r="F114" s="24">
        <v>540</v>
      </c>
      <c r="G114" s="30">
        <v>0.87096774193548387</v>
      </c>
      <c r="H114" s="24">
        <v>80</v>
      </c>
      <c r="I114" s="30">
        <v>0.12903225806451613</v>
      </c>
      <c r="J114" s="24">
        <v>0</v>
      </c>
      <c r="K114" s="30">
        <v>1.2738853503184714E-2</v>
      </c>
      <c r="L114" s="30">
        <v>0.92911444421614964</v>
      </c>
      <c r="N114" s="20" t="s">
        <v>151</v>
      </c>
      <c r="O114" s="24">
        <v>90</v>
      </c>
      <c r="P114" s="24">
        <v>89</v>
      </c>
      <c r="Q114" s="24">
        <v>74</v>
      </c>
      <c r="R114" s="24">
        <v>15</v>
      </c>
      <c r="S114" s="24">
        <v>0</v>
      </c>
    </row>
    <row r="115" spans="2:19" x14ac:dyDescent="0.25">
      <c r="B115" s="20" t="s">
        <v>83</v>
      </c>
      <c r="C115" s="24">
        <v>209</v>
      </c>
      <c r="D115" s="24">
        <v>203</v>
      </c>
      <c r="E115" s="30">
        <v>0.9712918660287081</v>
      </c>
      <c r="F115" s="24">
        <v>179</v>
      </c>
      <c r="G115" s="30">
        <v>0.88177339901477836</v>
      </c>
      <c r="H115" s="24">
        <v>24</v>
      </c>
      <c r="I115" s="30">
        <v>0.11822660098522167</v>
      </c>
      <c r="J115" s="24">
        <v>1</v>
      </c>
      <c r="K115" s="30">
        <v>2.3923444976076555E-2</v>
      </c>
      <c r="L115" s="30">
        <v>0.92653263252174323</v>
      </c>
      <c r="N115" s="20" t="s">
        <v>83</v>
      </c>
      <c r="O115" s="24">
        <v>9</v>
      </c>
      <c r="P115" s="24">
        <v>9</v>
      </c>
      <c r="Q115" s="24">
        <v>6</v>
      </c>
      <c r="R115" s="24">
        <v>3</v>
      </c>
      <c r="S115" s="24">
        <v>0</v>
      </c>
    </row>
    <row r="116" spans="2:19" x14ac:dyDescent="0.25">
      <c r="B116" s="20" t="s">
        <v>156</v>
      </c>
      <c r="C116" s="24">
        <v>259</v>
      </c>
      <c r="D116" s="24">
        <v>256</v>
      </c>
      <c r="E116" s="30">
        <v>0.98841698841698844</v>
      </c>
      <c r="F116" s="24">
        <v>242</v>
      </c>
      <c r="G116" s="30">
        <v>0.9453125</v>
      </c>
      <c r="H116" s="24">
        <v>14</v>
      </c>
      <c r="I116" s="30">
        <v>5.46875E-2</v>
      </c>
      <c r="J116" s="24">
        <v>2</v>
      </c>
      <c r="K116" s="30">
        <v>3.8610038610038611E-3</v>
      </c>
      <c r="L116" s="30">
        <v>0.96686474420849422</v>
      </c>
      <c r="N116" s="20" t="s">
        <v>156</v>
      </c>
      <c r="O116" s="24">
        <v>24</v>
      </c>
      <c r="P116" s="24">
        <v>24</v>
      </c>
      <c r="Q116" s="24">
        <v>24</v>
      </c>
      <c r="R116" s="24">
        <v>0</v>
      </c>
      <c r="S116" s="24">
        <v>0</v>
      </c>
    </row>
    <row r="117" spans="2:19" x14ac:dyDescent="0.25">
      <c r="B117" s="20" t="s">
        <v>161</v>
      </c>
      <c r="C117" s="24">
        <v>125</v>
      </c>
      <c r="D117" s="24">
        <v>83</v>
      </c>
      <c r="E117" s="30">
        <v>0.66400000000000003</v>
      </c>
      <c r="F117" s="24">
        <v>81</v>
      </c>
      <c r="G117" s="30">
        <v>0.97590361445783136</v>
      </c>
      <c r="H117" s="24">
        <v>2</v>
      </c>
      <c r="I117" s="30">
        <v>2.4096385542168676E-2</v>
      </c>
      <c r="J117" s="24">
        <v>0</v>
      </c>
      <c r="K117" s="30">
        <v>0.33600000000000002</v>
      </c>
      <c r="L117" s="30">
        <v>0.8199518072289157</v>
      </c>
      <c r="N117" s="20" t="s">
        <v>161</v>
      </c>
      <c r="O117" s="24">
        <v>2</v>
      </c>
      <c r="P117" s="24">
        <v>2</v>
      </c>
      <c r="Q117" s="24">
        <v>2</v>
      </c>
      <c r="R117" s="24">
        <v>0</v>
      </c>
      <c r="S117" s="24">
        <v>0</v>
      </c>
    </row>
    <row r="118" spans="2:19" x14ac:dyDescent="0.25">
      <c r="B118" s="20" t="s">
        <v>157</v>
      </c>
      <c r="C118" s="24">
        <v>493</v>
      </c>
      <c r="D118" s="24">
        <v>486</v>
      </c>
      <c r="E118" s="30">
        <v>0.98580121703853951</v>
      </c>
      <c r="F118" s="24">
        <v>445</v>
      </c>
      <c r="G118" s="30">
        <v>0.91563786008230452</v>
      </c>
      <c r="H118" s="24">
        <v>41</v>
      </c>
      <c r="I118" s="30">
        <v>8.4362139917695478E-2</v>
      </c>
      <c r="J118" s="24">
        <v>1</v>
      </c>
      <c r="K118" s="30">
        <v>1.2170385395537525E-2</v>
      </c>
      <c r="L118" s="30">
        <v>0.95071953856042202</v>
      </c>
      <c r="N118" s="20" t="s">
        <v>157</v>
      </c>
      <c r="O118" s="24">
        <v>54</v>
      </c>
      <c r="P118" s="24">
        <v>53</v>
      </c>
      <c r="Q118" s="24">
        <v>46</v>
      </c>
      <c r="R118" s="24">
        <v>7</v>
      </c>
      <c r="S118" s="24">
        <v>1</v>
      </c>
    </row>
    <row r="119" spans="2:19" x14ac:dyDescent="0.25">
      <c r="B119" s="20" t="s">
        <v>59</v>
      </c>
      <c r="C119" s="24">
        <v>1330</v>
      </c>
      <c r="D119" s="24">
        <v>1246</v>
      </c>
      <c r="E119" s="30">
        <v>0.93684210526315792</v>
      </c>
      <c r="F119" s="24">
        <v>1159</v>
      </c>
      <c r="G119" s="30">
        <v>0.9301765650080257</v>
      </c>
      <c r="H119" s="24">
        <v>87</v>
      </c>
      <c r="I119" s="30">
        <v>6.9823434991974312E-2</v>
      </c>
      <c r="J119" s="24">
        <v>1</v>
      </c>
      <c r="K119" s="30">
        <v>6.2406015037593986E-2</v>
      </c>
      <c r="L119" s="30">
        <v>0.93350933513559187</v>
      </c>
      <c r="N119" s="20" t="s">
        <v>59</v>
      </c>
      <c r="O119" s="24">
        <v>110</v>
      </c>
      <c r="P119" s="24">
        <v>108</v>
      </c>
      <c r="Q119" s="24">
        <v>94</v>
      </c>
      <c r="R119" s="24">
        <v>14</v>
      </c>
      <c r="S119" s="24">
        <v>0</v>
      </c>
    </row>
    <row r="120" spans="2:19" x14ac:dyDescent="0.25">
      <c r="B120" s="20" t="s">
        <v>88</v>
      </c>
      <c r="C120" s="24">
        <v>339</v>
      </c>
      <c r="D120" s="24">
        <v>326</v>
      </c>
      <c r="E120" s="30">
        <v>0.96165191740412981</v>
      </c>
      <c r="F120" s="24">
        <v>294</v>
      </c>
      <c r="G120" s="30">
        <v>0.90184049079754602</v>
      </c>
      <c r="H120" s="24">
        <v>32</v>
      </c>
      <c r="I120" s="30">
        <v>9.815950920245399E-2</v>
      </c>
      <c r="J120" s="24">
        <v>0</v>
      </c>
      <c r="K120" s="30">
        <v>3.8348082595870206E-2</v>
      </c>
      <c r="L120" s="30">
        <v>0.93174620410083797</v>
      </c>
      <c r="N120" s="20" t="s">
        <v>88</v>
      </c>
      <c r="O120" s="24">
        <v>11</v>
      </c>
      <c r="P120" s="24">
        <v>11</v>
      </c>
      <c r="Q120" s="24">
        <v>9</v>
      </c>
      <c r="R120" s="24">
        <v>2</v>
      </c>
      <c r="S120" s="24">
        <v>0</v>
      </c>
    </row>
    <row r="121" spans="2:19" x14ac:dyDescent="0.25">
      <c r="B121" s="20" t="s">
        <v>23</v>
      </c>
      <c r="C121" s="24">
        <v>777</v>
      </c>
      <c r="D121" s="24">
        <v>738</v>
      </c>
      <c r="E121" s="30">
        <v>0.9498069498069498</v>
      </c>
      <c r="F121" s="24">
        <v>558</v>
      </c>
      <c r="G121" s="30">
        <v>0.75609756097560976</v>
      </c>
      <c r="H121" s="24">
        <v>180</v>
      </c>
      <c r="I121" s="30">
        <v>0.24390243902439024</v>
      </c>
      <c r="J121" s="24">
        <v>1</v>
      </c>
      <c r="K121" s="30">
        <v>4.8906048906048903E-2</v>
      </c>
      <c r="L121" s="30">
        <v>0.85295225539127983</v>
      </c>
      <c r="N121" s="20" t="s">
        <v>23</v>
      </c>
      <c r="O121" s="24">
        <v>134</v>
      </c>
      <c r="P121" s="24">
        <v>131</v>
      </c>
      <c r="Q121" s="24">
        <v>99</v>
      </c>
      <c r="R121" s="24">
        <v>32</v>
      </c>
      <c r="S121" s="24">
        <v>0</v>
      </c>
    </row>
    <row r="122" spans="2:19" x14ac:dyDescent="0.25">
      <c r="B122" s="20" t="s">
        <v>84</v>
      </c>
      <c r="C122" s="24">
        <v>165</v>
      </c>
      <c r="D122" s="24">
        <v>159</v>
      </c>
      <c r="E122" s="30">
        <v>0.96363636363636362</v>
      </c>
      <c r="F122" s="24">
        <v>136</v>
      </c>
      <c r="G122" s="30">
        <v>0.85534591194968557</v>
      </c>
      <c r="H122" s="24">
        <v>23</v>
      </c>
      <c r="I122" s="30">
        <v>0.14465408805031446</v>
      </c>
      <c r="J122" s="24">
        <v>2</v>
      </c>
      <c r="K122" s="30">
        <v>2.4242424242424242E-2</v>
      </c>
      <c r="L122" s="30">
        <v>0.9094911377930246</v>
      </c>
      <c r="N122" s="20" t="s">
        <v>84</v>
      </c>
      <c r="O122" s="24">
        <v>26</v>
      </c>
      <c r="P122" s="24">
        <v>25</v>
      </c>
      <c r="Q122" s="24">
        <v>19</v>
      </c>
      <c r="R122" s="24">
        <v>6</v>
      </c>
      <c r="S122" s="24">
        <v>0</v>
      </c>
    </row>
    <row r="123" spans="2:19" x14ac:dyDescent="0.25">
      <c r="B123" s="20" t="s">
        <v>74</v>
      </c>
      <c r="C123" s="24">
        <v>464</v>
      </c>
      <c r="D123" s="24">
        <v>445</v>
      </c>
      <c r="E123" s="30">
        <v>0.95905172413793105</v>
      </c>
      <c r="F123" s="24">
        <v>384</v>
      </c>
      <c r="G123" s="30">
        <v>0.86292134831460676</v>
      </c>
      <c r="H123" s="24">
        <v>61</v>
      </c>
      <c r="I123" s="30">
        <v>0.13707865168539327</v>
      </c>
      <c r="J123" s="24">
        <v>0</v>
      </c>
      <c r="K123" s="30">
        <v>4.0948275862068964E-2</v>
      </c>
      <c r="L123" s="30">
        <v>0.91098653622626891</v>
      </c>
      <c r="N123" s="20" t="s">
        <v>74</v>
      </c>
      <c r="O123" s="24">
        <v>60</v>
      </c>
      <c r="P123" s="24">
        <v>56</v>
      </c>
      <c r="Q123" s="24">
        <v>46</v>
      </c>
      <c r="R123" s="24">
        <v>10</v>
      </c>
      <c r="S123" s="24">
        <v>0</v>
      </c>
    </row>
    <row r="124" spans="2:19" x14ac:dyDescent="0.25">
      <c r="B124" s="20" t="s">
        <v>104</v>
      </c>
      <c r="C124" s="24">
        <v>424</v>
      </c>
      <c r="D124" s="24">
        <v>403</v>
      </c>
      <c r="E124" s="30">
        <v>0.95047169811320753</v>
      </c>
      <c r="F124" s="24">
        <v>323</v>
      </c>
      <c r="G124" s="30">
        <v>0.80148883374689828</v>
      </c>
      <c r="H124" s="24">
        <v>80</v>
      </c>
      <c r="I124" s="30">
        <v>0.19851116625310175</v>
      </c>
      <c r="J124" s="24">
        <v>0</v>
      </c>
      <c r="K124" s="30">
        <v>4.9528301886792456E-2</v>
      </c>
      <c r="L124" s="30">
        <v>0.87598026593005285</v>
      </c>
      <c r="N124" s="20" t="s">
        <v>104</v>
      </c>
      <c r="O124" s="24">
        <v>63</v>
      </c>
      <c r="P124" s="24">
        <v>58</v>
      </c>
      <c r="Q124" s="24">
        <v>45</v>
      </c>
      <c r="R124" s="24">
        <v>13</v>
      </c>
      <c r="S124" s="24">
        <v>0</v>
      </c>
    </row>
    <row r="125" spans="2:19" x14ac:dyDescent="0.25">
      <c r="B125" s="20" t="s">
        <v>60</v>
      </c>
      <c r="C125" s="24">
        <v>293</v>
      </c>
      <c r="D125" s="24">
        <v>284</v>
      </c>
      <c r="E125" s="30">
        <v>0.96928327645051193</v>
      </c>
      <c r="F125" s="24">
        <v>226</v>
      </c>
      <c r="G125" s="30">
        <v>0.79577464788732399</v>
      </c>
      <c r="H125" s="24">
        <v>58</v>
      </c>
      <c r="I125" s="30">
        <v>0.20422535211267606</v>
      </c>
      <c r="J125" s="24">
        <v>1</v>
      </c>
      <c r="K125" s="30">
        <v>2.7303754266211604E-2</v>
      </c>
      <c r="L125" s="30">
        <v>0.88252896216891796</v>
      </c>
      <c r="N125" s="20" t="s">
        <v>60</v>
      </c>
      <c r="O125" s="24">
        <v>22</v>
      </c>
      <c r="P125" s="24">
        <v>22</v>
      </c>
      <c r="Q125" s="24">
        <v>16</v>
      </c>
      <c r="R125" s="24">
        <v>6</v>
      </c>
      <c r="S125" s="24">
        <v>0</v>
      </c>
    </row>
    <row r="126" spans="2:19" x14ac:dyDescent="0.25">
      <c r="B126" s="20" t="s">
        <v>37</v>
      </c>
      <c r="C126" s="24">
        <v>486</v>
      </c>
      <c r="D126" s="24">
        <v>474</v>
      </c>
      <c r="E126" s="30">
        <v>0.97530864197530864</v>
      </c>
      <c r="F126" s="24">
        <v>417</v>
      </c>
      <c r="G126" s="30">
        <v>0.879746835443038</v>
      </c>
      <c r="H126" s="24">
        <v>57</v>
      </c>
      <c r="I126" s="30">
        <v>0.12025316455696203</v>
      </c>
      <c r="J126" s="24">
        <v>0</v>
      </c>
      <c r="K126" s="30">
        <v>2.4691358024691357E-2</v>
      </c>
      <c r="L126" s="30">
        <v>0.92752773870917338</v>
      </c>
      <c r="N126" s="20" t="s">
        <v>37</v>
      </c>
      <c r="O126" s="24">
        <v>32</v>
      </c>
      <c r="P126" s="24">
        <v>31</v>
      </c>
      <c r="Q126" s="24">
        <v>21</v>
      </c>
      <c r="R126" s="24">
        <v>10</v>
      </c>
      <c r="S126" s="24">
        <v>0</v>
      </c>
    </row>
    <row r="127" spans="2:19" x14ac:dyDescent="0.25">
      <c r="B127" s="20" t="s">
        <v>106</v>
      </c>
      <c r="C127" s="24">
        <v>593</v>
      </c>
      <c r="D127" s="24">
        <v>580</v>
      </c>
      <c r="E127" s="30">
        <v>0.97807757166947729</v>
      </c>
      <c r="F127" s="24">
        <v>515</v>
      </c>
      <c r="G127" s="30">
        <v>0.88793103448275867</v>
      </c>
      <c r="H127" s="24">
        <v>65</v>
      </c>
      <c r="I127" s="30">
        <v>0.11206896551724138</v>
      </c>
      <c r="J127" s="24">
        <v>1</v>
      </c>
      <c r="K127" s="30">
        <v>2.0236087689713321E-2</v>
      </c>
      <c r="L127" s="30">
        <v>0.93300430307611792</v>
      </c>
      <c r="N127" s="20" t="s">
        <v>106</v>
      </c>
      <c r="O127" s="24">
        <v>23</v>
      </c>
      <c r="P127" s="24">
        <v>23</v>
      </c>
      <c r="Q127" s="24">
        <v>20</v>
      </c>
      <c r="R127" s="24">
        <v>3</v>
      </c>
      <c r="S127" s="24">
        <v>0</v>
      </c>
    </row>
    <row r="128" spans="2:19" x14ac:dyDescent="0.25">
      <c r="B128" s="20" t="s">
        <v>165</v>
      </c>
      <c r="C128" s="24">
        <v>107</v>
      </c>
      <c r="D128" s="24">
        <v>104</v>
      </c>
      <c r="E128" s="30">
        <v>0.9719626168224299</v>
      </c>
      <c r="F128" s="24">
        <v>96</v>
      </c>
      <c r="G128" s="30">
        <v>0.92307692307692313</v>
      </c>
      <c r="H128" s="24">
        <v>8</v>
      </c>
      <c r="I128" s="30">
        <v>7.6923076923076927E-2</v>
      </c>
      <c r="J128" s="24">
        <v>2</v>
      </c>
      <c r="K128" s="30">
        <v>9.3457943925233638E-3</v>
      </c>
      <c r="L128" s="30">
        <v>0.94751976994967646</v>
      </c>
      <c r="N128" s="20" t="s">
        <v>165</v>
      </c>
      <c r="O128" s="24">
        <v>14</v>
      </c>
      <c r="P128" s="24">
        <v>14</v>
      </c>
      <c r="Q128" s="24">
        <v>13</v>
      </c>
      <c r="R128" s="24">
        <v>1</v>
      </c>
      <c r="S128" s="24">
        <v>0</v>
      </c>
    </row>
    <row r="129" spans="2:19" x14ac:dyDescent="0.25">
      <c r="B129" s="20" t="s">
        <v>162</v>
      </c>
      <c r="C129" s="24">
        <v>234</v>
      </c>
      <c r="D129" s="24">
        <v>229</v>
      </c>
      <c r="E129" s="30">
        <v>0.9786324786324786</v>
      </c>
      <c r="F129" s="24">
        <v>184</v>
      </c>
      <c r="G129" s="30">
        <v>0.80349344978165937</v>
      </c>
      <c r="H129" s="24">
        <v>45</v>
      </c>
      <c r="I129" s="30">
        <v>0.1965065502183406</v>
      </c>
      <c r="J129" s="24">
        <v>0</v>
      </c>
      <c r="K129" s="30">
        <v>2.1367521367521368E-2</v>
      </c>
      <c r="L129" s="30">
        <v>0.89106296420706899</v>
      </c>
      <c r="N129" s="20" t="s">
        <v>162</v>
      </c>
      <c r="O129" s="24">
        <v>34</v>
      </c>
      <c r="P129" s="24">
        <v>32</v>
      </c>
      <c r="Q129" s="24">
        <v>22</v>
      </c>
      <c r="R129" s="24">
        <v>10</v>
      </c>
      <c r="S129" s="24">
        <v>0</v>
      </c>
    </row>
    <row r="130" spans="2:19" x14ac:dyDescent="0.25">
      <c r="B130" s="20" t="s">
        <v>75</v>
      </c>
      <c r="C130" s="24">
        <v>1002</v>
      </c>
      <c r="D130" s="24">
        <v>972</v>
      </c>
      <c r="E130" s="30">
        <v>0.97005988023952094</v>
      </c>
      <c r="F130" s="24">
        <v>838</v>
      </c>
      <c r="G130" s="30">
        <v>0.86213991769547327</v>
      </c>
      <c r="H130" s="24">
        <v>134</v>
      </c>
      <c r="I130" s="30">
        <v>0.13786008230452676</v>
      </c>
      <c r="J130" s="24">
        <v>0</v>
      </c>
      <c r="K130" s="30">
        <v>2.9940119760479042E-2</v>
      </c>
      <c r="L130" s="30">
        <v>0.91609989896749711</v>
      </c>
      <c r="N130" s="20" t="s">
        <v>75</v>
      </c>
      <c r="O130" s="24">
        <v>120</v>
      </c>
      <c r="P130" s="24">
        <v>120</v>
      </c>
      <c r="Q130" s="24">
        <v>81</v>
      </c>
      <c r="R130" s="24">
        <v>39</v>
      </c>
      <c r="S130" s="24">
        <v>0</v>
      </c>
    </row>
    <row r="131" spans="2:19" x14ac:dyDescent="0.25">
      <c r="B131" s="20" t="s">
        <v>139</v>
      </c>
      <c r="C131" s="24">
        <v>143</v>
      </c>
      <c r="D131" s="24">
        <v>138</v>
      </c>
      <c r="E131" s="30">
        <v>0.965034965034965</v>
      </c>
      <c r="F131" s="24">
        <v>130</v>
      </c>
      <c r="G131" s="30">
        <v>0.94202898550724634</v>
      </c>
      <c r="H131" s="24">
        <v>8</v>
      </c>
      <c r="I131" s="30">
        <v>5.7971014492753624E-2</v>
      </c>
      <c r="J131" s="24">
        <v>0</v>
      </c>
      <c r="K131" s="30">
        <v>3.4965034965034968E-2</v>
      </c>
      <c r="L131" s="30">
        <v>0.95353197527110567</v>
      </c>
      <c r="N131" s="20" t="s">
        <v>139</v>
      </c>
      <c r="O131" s="24">
        <v>3</v>
      </c>
      <c r="P131" s="24">
        <v>3</v>
      </c>
      <c r="Q131" s="24">
        <v>3</v>
      </c>
      <c r="R131" s="24">
        <v>0</v>
      </c>
      <c r="S131" s="24">
        <v>0</v>
      </c>
    </row>
    <row r="132" spans="2:19" x14ac:dyDescent="0.25">
      <c r="B132" s="20" t="s">
        <v>24</v>
      </c>
      <c r="C132" s="24">
        <v>1377</v>
      </c>
      <c r="D132" s="24">
        <v>1355</v>
      </c>
      <c r="E132" s="30">
        <v>0.98402323892519972</v>
      </c>
      <c r="F132" s="24">
        <v>1196</v>
      </c>
      <c r="G132" s="30">
        <v>0.88265682656826572</v>
      </c>
      <c r="H132" s="24">
        <v>159</v>
      </c>
      <c r="I132" s="30">
        <v>0.11734317343173432</v>
      </c>
      <c r="J132" s="24">
        <v>3</v>
      </c>
      <c r="K132" s="30">
        <v>1.3798111837327523E-2</v>
      </c>
      <c r="L132" s="30">
        <v>0.93334003274673272</v>
      </c>
      <c r="N132" s="20" t="s">
        <v>24</v>
      </c>
      <c r="O132" s="24">
        <v>174</v>
      </c>
      <c r="P132" s="24">
        <v>171</v>
      </c>
      <c r="Q132" s="24">
        <v>144</v>
      </c>
      <c r="R132" s="24">
        <v>27</v>
      </c>
      <c r="S132" s="24">
        <v>0</v>
      </c>
    </row>
    <row r="133" spans="2:19" x14ac:dyDescent="0.25">
      <c r="B133" s="20" t="s">
        <v>159</v>
      </c>
      <c r="C133" s="24">
        <v>1046</v>
      </c>
      <c r="D133" s="24">
        <v>1035</v>
      </c>
      <c r="E133" s="30">
        <v>0.98948374760994262</v>
      </c>
      <c r="F133" s="24">
        <v>981</v>
      </c>
      <c r="G133" s="30">
        <v>0.94782608695652171</v>
      </c>
      <c r="H133" s="24">
        <v>54</v>
      </c>
      <c r="I133" s="30">
        <v>5.2173913043478258E-2</v>
      </c>
      <c r="J133" s="24">
        <v>0</v>
      </c>
      <c r="K133" s="30">
        <v>1.0516252390057362E-2</v>
      </c>
      <c r="L133" s="30">
        <v>0.96865491728323216</v>
      </c>
      <c r="N133" s="20" t="s">
        <v>159</v>
      </c>
      <c r="O133" s="24">
        <v>47</v>
      </c>
      <c r="P133" s="24">
        <v>47</v>
      </c>
      <c r="Q133" s="24">
        <v>46</v>
      </c>
      <c r="R133" s="24">
        <v>1</v>
      </c>
      <c r="S133" s="24">
        <v>0</v>
      </c>
    </row>
    <row r="134" spans="2:19" x14ac:dyDescent="0.25">
      <c r="B134" s="20" t="s">
        <v>38</v>
      </c>
      <c r="C134" s="24">
        <v>103</v>
      </c>
      <c r="D134" s="24">
        <v>102</v>
      </c>
      <c r="E134" s="30">
        <v>0.99029126213592233</v>
      </c>
      <c r="F134" s="24">
        <v>91</v>
      </c>
      <c r="G134" s="30">
        <v>0.89215686274509809</v>
      </c>
      <c r="H134" s="24">
        <v>11</v>
      </c>
      <c r="I134" s="30">
        <v>0.10784313725490197</v>
      </c>
      <c r="J134" s="24">
        <v>1</v>
      </c>
      <c r="K134" s="30">
        <v>0</v>
      </c>
      <c r="L134" s="30">
        <v>0.94122406244051016</v>
      </c>
      <c r="N134" s="20" t="s">
        <v>38</v>
      </c>
      <c r="O134" s="24">
        <v>4</v>
      </c>
      <c r="P134" s="24">
        <v>4</v>
      </c>
      <c r="Q134" s="24">
        <v>4</v>
      </c>
      <c r="R134" s="24">
        <v>0</v>
      </c>
      <c r="S134" s="24">
        <v>0</v>
      </c>
    </row>
    <row r="135" spans="2:19" x14ac:dyDescent="0.25">
      <c r="B135" s="20" t="s">
        <v>56</v>
      </c>
      <c r="C135" s="24">
        <v>483</v>
      </c>
      <c r="D135" s="24">
        <v>474</v>
      </c>
      <c r="E135" s="30">
        <v>0.98136645962732916</v>
      </c>
      <c r="F135" s="24">
        <v>449</v>
      </c>
      <c r="G135" s="30">
        <v>0.9472573839662447</v>
      </c>
      <c r="H135" s="24">
        <v>25</v>
      </c>
      <c r="I135" s="30">
        <v>5.2742616033755275E-2</v>
      </c>
      <c r="J135" s="24">
        <v>1</v>
      </c>
      <c r="K135" s="30">
        <v>1.6563146997929608E-2</v>
      </c>
      <c r="L135" s="30">
        <v>0.96431192179678693</v>
      </c>
      <c r="N135" s="20" t="s">
        <v>56</v>
      </c>
      <c r="O135" s="24">
        <v>22</v>
      </c>
      <c r="P135" s="24">
        <v>21</v>
      </c>
      <c r="Q135" s="24">
        <v>18</v>
      </c>
      <c r="R135" s="24">
        <v>3</v>
      </c>
      <c r="S135" s="24">
        <v>1</v>
      </c>
    </row>
    <row r="136" spans="2:19" x14ac:dyDescent="0.25">
      <c r="B136" s="20" t="s">
        <v>25</v>
      </c>
      <c r="C136" s="24">
        <v>222</v>
      </c>
      <c r="D136" s="24">
        <v>209</v>
      </c>
      <c r="E136" s="30">
        <v>0.94144144144144148</v>
      </c>
      <c r="F136" s="24">
        <v>196</v>
      </c>
      <c r="G136" s="30">
        <v>0.93779904306220097</v>
      </c>
      <c r="H136" s="24">
        <v>13</v>
      </c>
      <c r="I136" s="30">
        <v>6.2200956937799042E-2</v>
      </c>
      <c r="J136" s="24">
        <v>1</v>
      </c>
      <c r="K136" s="30">
        <v>5.4054054054054057E-2</v>
      </c>
      <c r="L136" s="30">
        <v>0.93962024225182117</v>
      </c>
      <c r="N136" s="20" t="s">
        <v>25</v>
      </c>
      <c r="O136" s="24">
        <v>7</v>
      </c>
      <c r="P136" s="24">
        <v>6</v>
      </c>
      <c r="Q136" s="24">
        <v>6</v>
      </c>
      <c r="R136" s="24">
        <v>0</v>
      </c>
      <c r="S136" s="24">
        <v>1</v>
      </c>
    </row>
    <row r="137" spans="2:19" x14ac:dyDescent="0.25">
      <c r="B137" s="20" t="s">
        <v>68</v>
      </c>
      <c r="C137" s="24">
        <v>241</v>
      </c>
      <c r="D137" s="24">
        <v>237</v>
      </c>
      <c r="E137" s="30">
        <v>0.98340248962655596</v>
      </c>
      <c r="F137" s="24">
        <v>224</v>
      </c>
      <c r="G137" s="30">
        <v>0.94514767932489452</v>
      </c>
      <c r="H137" s="24">
        <v>13</v>
      </c>
      <c r="I137" s="30">
        <v>5.4852320675105488E-2</v>
      </c>
      <c r="J137" s="24">
        <v>0</v>
      </c>
      <c r="K137" s="30">
        <v>1.6597510373443983E-2</v>
      </c>
      <c r="L137" s="30">
        <v>0.9642750844757253</v>
      </c>
      <c r="N137" s="20" t="s">
        <v>68</v>
      </c>
      <c r="O137" s="24">
        <v>28</v>
      </c>
      <c r="P137" s="24">
        <v>28</v>
      </c>
      <c r="Q137" s="24">
        <v>28</v>
      </c>
      <c r="R137" s="24">
        <v>0</v>
      </c>
      <c r="S137" s="24">
        <v>0</v>
      </c>
    </row>
    <row r="138" spans="2:19" x14ac:dyDescent="0.25">
      <c r="B138" s="20" t="s">
        <v>114</v>
      </c>
      <c r="C138" s="24">
        <v>369</v>
      </c>
      <c r="D138" s="24">
        <v>357</v>
      </c>
      <c r="E138" s="30">
        <v>0.96747967479674801</v>
      </c>
      <c r="F138" s="24">
        <v>281</v>
      </c>
      <c r="G138" s="30">
        <v>0.78711484593837533</v>
      </c>
      <c r="H138" s="24">
        <v>76</v>
      </c>
      <c r="I138" s="30">
        <v>0.21288515406162464</v>
      </c>
      <c r="J138" s="24">
        <v>0</v>
      </c>
      <c r="K138" s="30">
        <v>3.2520325203252036E-2</v>
      </c>
      <c r="L138" s="30">
        <v>0.87729726036756173</v>
      </c>
      <c r="N138" s="20" t="s">
        <v>114</v>
      </c>
      <c r="O138" s="24">
        <v>76</v>
      </c>
      <c r="P138" s="24">
        <v>74</v>
      </c>
      <c r="Q138" s="24">
        <v>62</v>
      </c>
      <c r="R138" s="24">
        <v>12</v>
      </c>
      <c r="S138" s="24">
        <v>0</v>
      </c>
    </row>
    <row r="139" spans="2:19" x14ac:dyDescent="0.25">
      <c r="B139" s="20" t="s">
        <v>136</v>
      </c>
      <c r="C139" s="24">
        <v>473</v>
      </c>
      <c r="D139" s="24">
        <v>454</v>
      </c>
      <c r="E139" s="30">
        <v>0.95983086680761098</v>
      </c>
      <c r="F139" s="24">
        <v>371</v>
      </c>
      <c r="G139" s="30">
        <v>0.81718061674008813</v>
      </c>
      <c r="H139" s="24">
        <v>83</v>
      </c>
      <c r="I139" s="30">
        <v>0.1828193832599119</v>
      </c>
      <c r="J139" s="24">
        <v>2</v>
      </c>
      <c r="K139" s="30">
        <v>3.5940803382663845E-2</v>
      </c>
      <c r="L139" s="30">
        <v>0.88850574177384956</v>
      </c>
      <c r="N139" s="20" t="s">
        <v>136</v>
      </c>
      <c r="O139" s="24">
        <v>48</v>
      </c>
      <c r="P139" s="24">
        <v>48</v>
      </c>
      <c r="Q139" s="24">
        <v>40</v>
      </c>
      <c r="R139" s="24">
        <v>8</v>
      </c>
      <c r="S139" s="24">
        <v>0</v>
      </c>
    </row>
    <row r="140" spans="2:19" x14ac:dyDescent="0.25">
      <c r="B140" s="20" t="s">
        <v>152</v>
      </c>
      <c r="C140" s="24">
        <v>560</v>
      </c>
      <c r="D140" s="24">
        <v>537</v>
      </c>
      <c r="E140" s="30">
        <v>0.95892857142857146</v>
      </c>
      <c r="F140" s="24">
        <v>459</v>
      </c>
      <c r="G140" s="30">
        <v>0.85474860335195535</v>
      </c>
      <c r="H140" s="24">
        <v>78</v>
      </c>
      <c r="I140" s="30">
        <v>0.14525139664804471</v>
      </c>
      <c r="J140" s="24">
        <v>0</v>
      </c>
      <c r="K140" s="30">
        <v>4.1071428571428571E-2</v>
      </c>
      <c r="L140" s="30">
        <v>0.90683858739026335</v>
      </c>
      <c r="N140" s="20" t="s">
        <v>152</v>
      </c>
      <c r="O140" s="24">
        <v>70</v>
      </c>
      <c r="P140" s="24">
        <v>69</v>
      </c>
      <c r="Q140" s="24">
        <v>47</v>
      </c>
      <c r="R140" s="24">
        <v>22</v>
      </c>
      <c r="S140" s="24">
        <v>0</v>
      </c>
    </row>
    <row r="141" spans="2:19" x14ac:dyDescent="0.25">
      <c r="B141" s="20" t="s">
        <v>132</v>
      </c>
      <c r="C141" s="24">
        <v>208</v>
      </c>
      <c r="D141" s="24">
        <v>200</v>
      </c>
      <c r="E141" s="30">
        <v>0.96153846153846156</v>
      </c>
      <c r="F141" s="24">
        <v>175</v>
      </c>
      <c r="G141" s="30">
        <v>0.875</v>
      </c>
      <c r="H141" s="24">
        <v>25</v>
      </c>
      <c r="I141" s="30">
        <v>0.125</v>
      </c>
      <c r="J141" s="24">
        <v>0</v>
      </c>
      <c r="K141" s="30">
        <v>3.8461538461538464E-2</v>
      </c>
      <c r="L141" s="30">
        <v>0.91826923076923084</v>
      </c>
      <c r="N141" s="20" t="s">
        <v>132</v>
      </c>
      <c r="O141" s="24">
        <v>10</v>
      </c>
      <c r="P141" s="24">
        <v>10</v>
      </c>
      <c r="Q141" s="24">
        <v>9</v>
      </c>
      <c r="R141" s="24">
        <v>1</v>
      </c>
      <c r="S141" s="24">
        <v>0</v>
      </c>
    </row>
    <row r="142" spans="2:19" x14ac:dyDescent="0.25">
      <c r="B142" s="20" t="s">
        <v>169</v>
      </c>
      <c r="C142" s="24">
        <v>1557</v>
      </c>
      <c r="D142" s="24">
        <v>1402</v>
      </c>
      <c r="E142" s="30">
        <v>0.90044958253050733</v>
      </c>
      <c r="F142" s="24">
        <v>1228</v>
      </c>
      <c r="G142" s="30">
        <v>0.87589158345221108</v>
      </c>
      <c r="H142" s="24">
        <v>174</v>
      </c>
      <c r="I142" s="30">
        <v>0.12410841654778887</v>
      </c>
      <c r="J142" s="24">
        <v>14</v>
      </c>
      <c r="K142" s="30">
        <v>9.05587668593449E-2</v>
      </c>
      <c r="L142" s="30">
        <v>0.8881705829913592</v>
      </c>
      <c r="N142" s="20" t="s">
        <v>169</v>
      </c>
      <c r="O142" s="24">
        <v>170</v>
      </c>
      <c r="P142" s="24">
        <v>162</v>
      </c>
      <c r="Q142" s="24">
        <v>142</v>
      </c>
      <c r="R142" s="24">
        <v>20</v>
      </c>
      <c r="S142" s="24">
        <v>0</v>
      </c>
    </row>
    <row r="143" spans="2:19" x14ac:dyDescent="0.25">
      <c r="B143" s="20" t="s">
        <v>93</v>
      </c>
      <c r="C143" s="24">
        <v>430</v>
      </c>
      <c r="D143" s="24">
        <v>416</v>
      </c>
      <c r="E143" s="30">
        <v>0.96744186046511627</v>
      </c>
      <c r="F143" s="24">
        <v>356</v>
      </c>
      <c r="G143" s="30">
        <v>0.85576923076923073</v>
      </c>
      <c r="H143" s="24">
        <v>60</v>
      </c>
      <c r="I143" s="30">
        <v>0.14423076923076922</v>
      </c>
      <c r="J143" s="24">
        <v>1</v>
      </c>
      <c r="K143" s="30">
        <v>3.0232558139534883E-2</v>
      </c>
      <c r="L143" s="30">
        <v>0.91160554561717344</v>
      </c>
      <c r="N143" s="20" t="s">
        <v>93</v>
      </c>
      <c r="O143" s="24">
        <v>56</v>
      </c>
      <c r="P143" s="24">
        <v>53</v>
      </c>
      <c r="Q143" s="24">
        <v>41</v>
      </c>
      <c r="R143" s="24">
        <v>12</v>
      </c>
      <c r="S143" s="24">
        <v>0</v>
      </c>
    </row>
    <row r="144" spans="2:19" x14ac:dyDescent="0.25">
      <c r="B144" s="20" t="s">
        <v>49</v>
      </c>
      <c r="C144" s="24">
        <v>936</v>
      </c>
      <c r="D144" s="24">
        <v>919</v>
      </c>
      <c r="E144" s="30">
        <v>0.98183760683760679</v>
      </c>
      <c r="F144" s="24">
        <v>858</v>
      </c>
      <c r="G144" s="30">
        <v>0.93362350380848746</v>
      </c>
      <c r="H144" s="24">
        <v>61</v>
      </c>
      <c r="I144" s="30">
        <v>6.6376496191512507E-2</v>
      </c>
      <c r="J144" s="24">
        <v>0</v>
      </c>
      <c r="K144" s="30">
        <v>1.8162393162393164E-2</v>
      </c>
      <c r="L144" s="30">
        <v>0.95773055532304707</v>
      </c>
      <c r="N144" s="20" t="s">
        <v>49</v>
      </c>
      <c r="O144" s="24">
        <v>67</v>
      </c>
      <c r="P144" s="24">
        <v>67</v>
      </c>
      <c r="Q144" s="24">
        <v>59</v>
      </c>
      <c r="R144" s="24">
        <v>8</v>
      </c>
      <c r="S144" s="24">
        <v>0</v>
      </c>
    </row>
    <row r="145" spans="2:19" x14ac:dyDescent="0.25">
      <c r="B145" s="20" t="s">
        <v>44</v>
      </c>
      <c r="C145" s="24">
        <v>276</v>
      </c>
      <c r="D145" s="24">
        <v>258</v>
      </c>
      <c r="E145" s="30">
        <v>0.93478260869565222</v>
      </c>
      <c r="F145" s="24">
        <v>218</v>
      </c>
      <c r="G145" s="30">
        <v>0.84496124031007747</v>
      </c>
      <c r="H145" s="24">
        <v>40</v>
      </c>
      <c r="I145" s="30">
        <v>0.15503875968992248</v>
      </c>
      <c r="J145" s="24">
        <v>2</v>
      </c>
      <c r="K145" s="30">
        <v>5.7971014492753624E-2</v>
      </c>
      <c r="L145" s="30">
        <v>0.88987192450286479</v>
      </c>
      <c r="N145" s="20" t="s">
        <v>44</v>
      </c>
      <c r="O145" s="24">
        <v>26</v>
      </c>
      <c r="P145" s="24">
        <v>25</v>
      </c>
      <c r="Q145" s="24">
        <v>23</v>
      </c>
      <c r="R145" s="24">
        <v>2</v>
      </c>
      <c r="S145" s="24">
        <v>0</v>
      </c>
    </row>
    <row r="146" spans="2:19" x14ac:dyDescent="0.25">
      <c r="B146" s="20" t="s">
        <v>115</v>
      </c>
      <c r="C146" s="24">
        <v>441</v>
      </c>
      <c r="D146" s="24">
        <v>427</v>
      </c>
      <c r="E146" s="30">
        <v>0.96825396825396826</v>
      </c>
      <c r="F146" s="24">
        <v>415</v>
      </c>
      <c r="G146" s="30">
        <v>0.97189695550351285</v>
      </c>
      <c r="H146" s="24">
        <v>12</v>
      </c>
      <c r="I146" s="30">
        <v>2.8103044496487119E-2</v>
      </c>
      <c r="J146" s="24">
        <v>0</v>
      </c>
      <c r="K146" s="30">
        <v>3.1746031746031744E-2</v>
      </c>
      <c r="L146" s="30">
        <v>0.97007546187874061</v>
      </c>
      <c r="N146" s="20" t="s">
        <v>115</v>
      </c>
      <c r="O146" s="24">
        <v>17</v>
      </c>
      <c r="P146" s="24">
        <v>15</v>
      </c>
      <c r="Q146" s="24">
        <v>13</v>
      </c>
      <c r="R146" s="24">
        <v>2</v>
      </c>
      <c r="S146" s="24">
        <v>0</v>
      </c>
    </row>
    <row r="147" spans="2:19" x14ac:dyDescent="0.25">
      <c r="B147" s="20" t="s">
        <v>127</v>
      </c>
      <c r="C147" s="24">
        <v>43</v>
      </c>
      <c r="D147" s="24">
        <v>42</v>
      </c>
      <c r="E147" s="30">
        <v>0.97674418604651159</v>
      </c>
      <c r="F147" s="24">
        <v>38</v>
      </c>
      <c r="G147" s="30">
        <v>0.90476190476190477</v>
      </c>
      <c r="H147" s="24">
        <v>4</v>
      </c>
      <c r="I147" s="30">
        <v>9.5238095238095233E-2</v>
      </c>
      <c r="J147" s="24">
        <v>0</v>
      </c>
      <c r="K147" s="30">
        <v>2.3255813953488372E-2</v>
      </c>
      <c r="L147" s="30">
        <v>0.94075304540420812</v>
      </c>
      <c r="N147" s="20" t="s">
        <v>127</v>
      </c>
      <c r="O147" s="24">
        <v>9</v>
      </c>
      <c r="P147" s="24">
        <v>9</v>
      </c>
      <c r="Q147" s="24">
        <v>8</v>
      </c>
      <c r="R147" s="24">
        <v>1</v>
      </c>
      <c r="S147" s="24">
        <v>0</v>
      </c>
    </row>
    <row r="148" spans="2:19" x14ac:dyDescent="0.25">
      <c r="B148" s="20" t="s">
        <v>122</v>
      </c>
      <c r="C148" s="24">
        <v>518</v>
      </c>
      <c r="D148" s="24">
        <v>505</v>
      </c>
      <c r="E148" s="30">
        <v>0.97490347490347495</v>
      </c>
      <c r="F148" s="24">
        <v>451</v>
      </c>
      <c r="G148" s="30">
        <v>0.89306930693069309</v>
      </c>
      <c r="H148" s="24">
        <v>54</v>
      </c>
      <c r="I148" s="30">
        <v>0.10693069306930693</v>
      </c>
      <c r="J148" s="24">
        <v>0</v>
      </c>
      <c r="K148" s="30">
        <v>2.5096525096525095E-2</v>
      </c>
      <c r="L148" s="30">
        <v>0.93398639091708402</v>
      </c>
      <c r="N148" s="20" t="s">
        <v>122</v>
      </c>
      <c r="O148" s="24">
        <v>87</v>
      </c>
      <c r="P148" s="24">
        <v>84</v>
      </c>
      <c r="Q148" s="24">
        <v>79</v>
      </c>
      <c r="R148" s="24">
        <v>5</v>
      </c>
      <c r="S148" s="24">
        <v>0</v>
      </c>
    </row>
    <row r="149" spans="2:19" x14ac:dyDescent="0.25">
      <c r="B149" s="20" t="s">
        <v>124</v>
      </c>
      <c r="C149" s="24">
        <v>402</v>
      </c>
      <c r="D149" s="24">
        <v>376</v>
      </c>
      <c r="E149" s="30">
        <v>0.93532338308457708</v>
      </c>
      <c r="F149" s="24">
        <v>343</v>
      </c>
      <c r="G149" s="30">
        <v>0.91223404255319152</v>
      </c>
      <c r="H149" s="24">
        <v>33</v>
      </c>
      <c r="I149" s="30">
        <v>8.7765957446808512E-2</v>
      </c>
      <c r="J149" s="24">
        <v>1</v>
      </c>
      <c r="K149" s="30">
        <v>6.2189054726368161E-2</v>
      </c>
      <c r="L149" s="30">
        <v>0.92377871281888435</v>
      </c>
      <c r="N149" s="20" t="s">
        <v>124</v>
      </c>
      <c r="O149" s="24">
        <v>24</v>
      </c>
      <c r="P149" s="24">
        <v>24</v>
      </c>
      <c r="Q149" s="24">
        <v>19</v>
      </c>
      <c r="R149" s="24">
        <v>5</v>
      </c>
      <c r="S149" s="24">
        <v>0</v>
      </c>
    </row>
    <row r="150" spans="2:19" x14ac:dyDescent="0.25">
      <c r="B150" s="20" t="s">
        <v>173</v>
      </c>
      <c r="C150" s="24">
        <v>156</v>
      </c>
      <c r="D150" s="24">
        <v>151</v>
      </c>
      <c r="E150" s="30">
        <v>0.96794871794871795</v>
      </c>
      <c r="F150" s="24">
        <v>145</v>
      </c>
      <c r="G150" s="30">
        <v>0.96026490066225167</v>
      </c>
      <c r="H150" s="24">
        <v>6</v>
      </c>
      <c r="I150" s="30">
        <v>3.9735099337748346E-2</v>
      </c>
      <c r="J150" s="24">
        <v>0</v>
      </c>
      <c r="K150" s="30">
        <v>3.2051282051282048E-2</v>
      </c>
      <c r="L150" s="30">
        <v>0.96410680930548476</v>
      </c>
      <c r="N150" s="20" t="s">
        <v>173</v>
      </c>
      <c r="O150" s="24">
        <v>9</v>
      </c>
      <c r="P150" s="24">
        <v>9</v>
      </c>
      <c r="Q150" s="24">
        <v>8</v>
      </c>
      <c r="R150" s="24">
        <v>1</v>
      </c>
      <c r="S150" s="24">
        <v>0</v>
      </c>
    </row>
    <row r="151" spans="2:19" x14ac:dyDescent="0.25">
      <c r="B151" s="20" t="s">
        <v>130</v>
      </c>
      <c r="C151" s="24">
        <v>672</v>
      </c>
      <c r="D151" s="24">
        <v>663</v>
      </c>
      <c r="E151" s="30">
        <v>0.9866071428571429</v>
      </c>
      <c r="F151" s="24">
        <v>545</v>
      </c>
      <c r="G151" s="30">
        <v>0.82202111613876316</v>
      </c>
      <c r="H151" s="24">
        <v>118</v>
      </c>
      <c r="I151" s="30">
        <v>0.17797888386123681</v>
      </c>
      <c r="J151" s="24">
        <v>0</v>
      </c>
      <c r="K151" s="30">
        <v>1.3392857142857142E-2</v>
      </c>
      <c r="L151" s="30">
        <v>0.90431412949795309</v>
      </c>
      <c r="N151" s="20" t="s">
        <v>130</v>
      </c>
      <c r="O151" s="24">
        <v>77</v>
      </c>
      <c r="P151" s="24">
        <v>75</v>
      </c>
      <c r="Q151" s="24">
        <v>60</v>
      </c>
      <c r="R151" s="24">
        <v>15</v>
      </c>
      <c r="S151" s="24">
        <v>0</v>
      </c>
    </row>
    <row r="152" spans="2:19" x14ac:dyDescent="0.25">
      <c r="B152" s="20" t="s">
        <v>76</v>
      </c>
      <c r="C152" s="24">
        <v>681</v>
      </c>
      <c r="D152" s="24">
        <v>656</v>
      </c>
      <c r="E152" s="30">
        <v>0.96328928046989726</v>
      </c>
      <c r="F152" s="24">
        <v>618</v>
      </c>
      <c r="G152" s="30">
        <v>0.94207317073170727</v>
      </c>
      <c r="H152" s="24">
        <v>38</v>
      </c>
      <c r="I152" s="30">
        <v>5.7926829268292686E-2</v>
      </c>
      <c r="J152" s="24">
        <v>1</v>
      </c>
      <c r="K152" s="30">
        <v>3.5242290748898682E-2</v>
      </c>
      <c r="L152" s="30">
        <v>0.95268122560080226</v>
      </c>
      <c r="N152" s="20" t="s">
        <v>76</v>
      </c>
      <c r="O152" s="24">
        <v>69</v>
      </c>
      <c r="P152" s="24">
        <v>66</v>
      </c>
      <c r="Q152" s="24">
        <v>61</v>
      </c>
      <c r="R152" s="24">
        <v>5</v>
      </c>
      <c r="S152" s="24">
        <v>0</v>
      </c>
    </row>
    <row r="153" spans="2:19" x14ac:dyDescent="0.25">
      <c r="B153" s="20" t="s">
        <v>150</v>
      </c>
      <c r="C153" s="24">
        <v>50</v>
      </c>
      <c r="D153" s="24">
        <v>47</v>
      </c>
      <c r="E153" s="30">
        <v>0.94</v>
      </c>
      <c r="F153" s="24">
        <v>40</v>
      </c>
      <c r="G153" s="30">
        <v>0.85106382978723405</v>
      </c>
      <c r="H153" s="24">
        <v>7</v>
      </c>
      <c r="I153" s="30">
        <v>0.14893617021276595</v>
      </c>
      <c r="J153" s="24">
        <v>1</v>
      </c>
      <c r="K153" s="30">
        <v>0.04</v>
      </c>
      <c r="L153" s="30">
        <v>0.89553191489361694</v>
      </c>
      <c r="N153" s="20" t="s">
        <v>150</v>
      </c>
      <c r="O153" s="24">
        <v>8</v>
      </c>
      <c r="P153" s="24">
        <v>8</v>
      </c>
      <c r="Q153" s="24">
        <v>3</v>
      </c>
      <c r="R153" s="24">
        <v>5</v>
      </c>
      <c r="S153" s="24">
        <v>0</v>
      </c>
    </row>
    <row r="154" spans="2:19" x14ac:dyDescent="0.25">
      <c r="B154" s="20" t="s">
        <v>137</v>
      </c>
      <c r="C154" s="24">
        <v>1609</v>
      </c>
      <c r="D154" s="24">
        <v>1451</v>
      </c>
      <c r="E154" s="30">
        <v>0.90180236171535111</v>
      </c>
      <c r="F154" s="24">
        <v>1257</v>
      </c>
      <c r="G154" s="30">
        <v>0.86629910406616129</v>
      </c>
      <c r="H154" s="24">
        <v>194</v>
      </c>
      <c r="I154" s="30">
        <v>0.13370089593383874</v>
      </c>
      <c r="J154" s="24">
        <v>25</v>
      </c>
      <c r="K154" s="30">
        <v>8.2660037290242391E-2</v>
      </c>
      <c r="L154" s="30">
        <v>0.8840507328907562</v>
      </c>
      <c r="N154" s="20" t="s">
        <v>137</v>
      </c>
      <c r="O154" s="24">
        <v>189</v>
      </c>
      <c r="P154" s="24">
        <v>172</v>
      </c>
      <c r="Q154" s="24">
        <v>149</v>
      </c>
      <c r="R154" s="24">
        <v>23</v>
      </c>
      <c r="S154" s="24">
        <v>4</v>
      </c>
    </row>
    <row r="155" spans="2:19" x14ac:dyDescent="0.25">
      <c r="B155" s="20" t="s">
        <v>180</v>
      </c>
      <c r="C155" s="24">
        <v>133</v>
      </c>
      <c r="D155" s="24">
        <v>131</v>
      </c>
      <c r="E155" s="30">
        <v>0.98496240601503759</v>
      </c>
      <c r="F155" s="24">
        <v>109</v>
      </c>
      <c r="G155" s="30">
        <v>0.83206106870229013</v>
      </c>
      <c r="H155" s="24">
        <v>22</v>
      </c>
      <c r="I155" s="30">
        <v>0.16793893129770993</v>
      </c>
      <c r="J155" s="24">
        <v>0</v>
      </c>
      <c r="K155" s="30">
        <v>1.5037593984962405E-2</v>
      </c>
      <c r="L155" s="30">
        <v>0.90851173735866386</v>
      </c>
      <c r="N155" s="20" t="s">
        <v>180</v>
      </c>
      <c r="O155" s="24">
        <v>15</v>
      </c>
      <c r="P155" s="24">
        <v>15</v>
      </c>
      <c r="Q155" s="24">
        <v>12</v>
      </c>
      <c r="R155" s="24">
        <v>3</v>
      </c>
      <c r="S155" s="24">
        <v>0</v>
      </c>
    </row>
    <row r="156" spans="2:19" x14ac:dyDescent="0.25">
      <c r="B156" s="20" t="s">
        <v>70</v>
      </c>
      <c r="C156" s="24">
        <v>638</v>
      </c>
      <c r="D156" s="24">
        <v>626</v>
      </c>
      <c r="E156" s="30">
        <v>0.98119122257053293</v>
      </c>
      <c r="F156" s="24">
        <v>577</v>
      </c>
      <c r="G156" s="30">
        <v>0.92172523961661346</v>
      </c>
      <c r="H156" s="24">
        <v>49</v>
      </c>
      <c r="I156" s="30">
        <v>7.8274760383386585E-2</v>
      </c>
      <c r="J156" s="24">
        <v>1</v>
      </c>
      <c r="K156" s="30">
        <v>1.7241379310344827E-2</v>
      </c>
      <c r="L156" s="30">
        <v>0.95145823109357319</v>
      </c>
      <c r="N156" s="20" t="s">
        <v>70</v>
      </c>
      <c r="O156" s="24">
        <v>45</v>
      </c>
      <c r="P156" s="24">
        <v>45</v>
      </c>
      <c r="Q156" s="24">
        <v>32</v>
      </c>
      <c r="R156" s="24">
        <v>13</v>
      </c>
      <c r="S156" s="24">
        <v>0</v>
      </c>
    </row>
    <row r="157" spans="2:19" x14ac:dyDescent="0.25">
      <c r="B157" s="20" t="s">
        <v>207</v>
      </c>
      <c r="C157" s="24">
        <v>69774</v>
      </c>
      <c r="D157" s="24">
        <v>66718</v>
      </c>
      <c r="E157" s="30">
        <v>0.956201450396996</v>
      </c>
      <c r="F157" s="24">
        <v>57469</v>
      </c>
      <c r="G157" s="30">
        <v>0.86137174375730685</v>
      </c>
      <c r="H157" s="24">
        <v>9249</v>
      </c>
      <c r="I157" s="30">
        <v>0.13862825624269312</v>
      </c>
      <c r="J157" s="24">
        <v>284</v>
      </c>
      <c r="K157" s="30">
        <v>3.9728265543038953E-2</v>
      </c>
      <c r="L157" s="30">
        <v>0.90878659707715137</v>
      </c>
      <c r="N157" s="20" t="s">
        <v>207</v>
      </c>
      <c r="O157" s="24">
        <v>7829</v>
      </c>
      <c r="P157" s="24">
        <v>7594</v>
      </c>
      <c r="Q157" s="24">
        <v>6028</v>
      </c>
      <c r="R157" s="24">
        <v>1566</v>
      </c>
      <c r="S157" s="24">
        <v>35</v>
      </c>
    </row>
  </sheetData>
  <mergeCells count="5">
    <mergeCell ref="C2:N7"/>
    <mergeCell ref="D10:F12"/>
    <mergeCell ref="D14:F18"/>
    <mergeCell ref="P10:R12"/>
    <mergeCell ref="P14:R18"/>
  </mergeCells>
  <pageMargins left="0.7" right="0.7" top="0.75" bottom="0.75" header="0.3" footer="0.3"/>
  <drawing r:id="rId3"/>
  <extLst>
    <ext xmlns:x14="http://schemas.microsoft.com/office/spreadsheetml/2009/9/main" uri="{A8765BA9-456A-4dab-B4F3-ACF838C121DE}">
      <x14:slicerList>
        <x14:slicer r:id="rId4"/>
      </x14:slicerList>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40"/>
  <sheetViews>
    <sheetView zoomScale="90" zoomScaleNormal="90" workbookViewId="0">
      <selection activeCell="A2772" sqref="A2772:G3279"/>
    </sheetView>
  </sheetViews>
  <sheetFormatPr defaultRowHeight="15" x14ac:dyDescent="0.25"/>
  <cols>
    <col min="1" max="1" width="32.7109375" customWidth="1"/>
    <col min="2" max="2" width="66.7109375" customWidth="1"/>
    <col min="7" max="7" width="9.7109375" customWidth="1"/>
  </cols>
  <sheetData>
    <row r="1" spans="1:13" x14ac:dyDescent="0.25">
      <c r="I1">
        <v>70294</v>
      </c>
      <c r="J1">
        <v>67238</v>
      </c>
      <c r="K1">
        <v>57469</v>
      </c>
      <c r="L1">
        <v>9769</v>
      </c>
      <c r="M1">
        <v>284</v>
      </c>
    </row>
    <row r="2" spans="1:13" x14ac:dyDescent="0.25">
      <c r="A2" s="1" t="s">
        <v>12</v>
      </c>
      <c r="B2" s="1" t="s">
        <v>0</v>
      </c>
      <c r="C2" s="1" t="s">
        <v>13</v>
      </c>
      <c r="D2" s="1" t="s">
        <v>14</v>
      </c>
      <c r="E2" s="1" t="s">
        <v>15</v>
      </c>
      <c r="F2" s="1" t="s">
        <v>16</v>
      </c>
      <c r="G2" s="1" t="s">
        <v>17</v>
      </c>
      <c r="I2">
        <v>520</v>
      </c>
      <c r="J2">
        <v>495</v>
      </c>
      <c r="K2">
        <v>408</v>
      </c>
      <c r="L2">
        <v>87</v>
      </c>
      <c r="M2">
        <v>2</v>
      </c>
    </row>
    <row r="3" spans="1:13" x14ac:dyDescent="0.25">
      <c r="A3" t="s">
        <v>47</v>
      </c>
      <c r="B3" t="s">
        <v>2</v>
      </c>
      <c r="C3">
        <v>2</v>
      </c>
      <c r="D3">
        <v>2</v>
      </c>
      <c r="E3">
        <v>1</v>
      </c>
      <c r="F3">
        <f>2-1</f>
        <v>1</v>
      </c>
      <c r="G3">
        <v>0</v>
      </c>
      <c r="I3" s="3">
        <f>+I1-I2</f>
        <v>69774</v>
      </c>
      <c r="J3" s="3">
        <f>+K3+L3</f>
        <v>66718</v>
      </c>
      <c r="K3" s="3">
        <f>+K1</f>
        <v>57469</v>
      </c>
      <c r="L3" s="3">
        <f>+L1-I2</f>
        <v>9249</v>
      </c>
      <c r="M3" s="3">
        <f>+M1</f>
        <v>284</v>
      </c>
    </row>
    <row r="4" spans="1:13" x14ac:dyDescent="0.25">
      <c r="A4" t="s">
        <v>47</v>
      </c>
      <c r="B4" t="s">
        <v>97</v>
      </c>
      <c r="C4">
        <v>1</v>
      </c>
      <c r="D4">
        <v>0</v>
      </c>
      <c r="E4">
        <v>0</v>
      </c>
      <c r="F4">
        <v>0</v>
      </c>
      <c r="G4">
        <v>1</v>
      </c>
      <c r="I4">
        <v>69774</v>
      </c>
      <c r="J4">
        <v>66718</v>
      </c>
      <c r="K4">
        <v>57469</v>
      </c>
      <c r="L4">
        <v>9249</v>
      </c>
      <c r="M4">
        <v>284</v>
      </c>
    </row>
    <row r="5" spans="1:13" x14ac:dyDescent="0.25">
      <c r="A5" t="s">
        <v>47</v>
      </c>
      <c r="B5" t="s">
        <v>5</v>
      </c>
      <c r="C5">
        <v>40</v>
      </c>
      <c r="D5">
        <v>40</v>
      </c>
      <c r="E5">
        <f>38+1</f>
        <v>39</v>
      </c>
      <c r="F5">
        <f>2-1+0</f>
        <v>1</v>
      </c>
      <c r="G5">
        <v>0</v>
      </c>
    </row>
    <row r="6" spans="1:13" x14ac:dyDescent="0.25">
      <c r="A6" s="3" t="s">
        <v>47</v>
      </c>
      <c r="B6" s="3" t="s">
        <v>5</v>
      </c>
      <c r="C6" s="3">
        <v>63</v>
      </c>
      <c r="D6" s="3">
        <v>62</v>
      </c>
      <c r="E6" s="3">
        <v>62</v>
      </c>
      <c r="F6" s="3">
        <v>0</v>
      </c>
      <c r="G6" s="3">
        <v>0</v>
      </c>
    </row>
    <row r="7" spans="1:13" x14ac:dyDescent="0.25">
      <c r="A7" t="s">
        <v>47</v>
      </c>
      <c r="B7" t="s">
        <v>185</v>
      </c>
      <c r="C7">
        <f>48+42</f>
        <v>90</v>
      </c>
      <c r="D7">
        <f>45+41</f>
        <v>86</v>
      </c>
      <c r="E7">
        <f>71+9</f>
        <v>80</v>
      </c>
      <c r="F7">
        <f>15-11+2</f>
        <v>6</v>
      </c>
      <c r="G7">
        <v>0</v>
      </c>
    </row>
    <row r="8" spans="1:13" x14ac:dyDescent="0.25">
      <c r="A8" s="3" t="s">
        <v>47</v>
      </c>
      <c r="B8" s="3" t="s">
        <v>185</v>
      </c>
      <c r="C8" s="3">
        <v>19</v>
      </c>
      <c r="D8" s="3">
        <v>17</v>
      </c>
      <c r="E8" s="3">
        <v>16</v>
      </c>
      <c r="F8" s="3">
        <v>1</v>
      </c>
      <c r="G8" s="3">
        <v>0</v>
      </c>
    </row>
    <row r="9" spans="1:13" x14ac:dyDescent="0.25">
      <c r="A9" t="s">
        <v>47</v>
      </c>
      <c r="B9" t="s">
        <v>186</v>
      </c>
      <c r="C9">
        <f>67+1</f>
        <v>68</v>
      </c>
      <c r="D9">
        <f>66+1</f>
        <v>67</v>
      </c>
      <c r="E9">
        <f>52+7</f>
        <v>59</v>
      </c>
      <c r="F9">
        <f>15-7+0</f>
        <v>8</v>
      </c>
      <c r="G9">
        <v>0</v>
      </c>
    </row>
    <row r="10" spans="1:13" x14ac:dyDescent="0.25">
      <c r="A10" s="3" t="s">
        <v>47</v>
      </c>
      <c r="B10" s="3" t="s">
        <v>186</v>
      </c>
      <c r="C10" s="3">
        <v>32</v>
      </c>
      <c r="D10" s="3">
        <v>30</v>
      </c>
      <c r="E10" s="3">
        <v>25</v>
      </c>
      <c r="F10" s="3">
        <v>5</v>
      </c>
      <c r="G10" s="3">
        <v>0</v>
      </c>
    </row>
    <row r="11" spans="1:13" x14ac:dyDescent="0.25">
      <c r="A11" t="s">
        <v>47</v>
      </c>
      <c r="B11" t="s">
        <v>187</v>
      </c>
      <c r="C11">
        <v>23</v>
      </c>
      <c r="D11">
        <v>23</v>
      </c>
      <c r="E11">
        <v>20</v>
      </c>
      <c r="F11">
        <v>3</v>
      </c>
      <c r="G11">
        <v>0</v>
      </c>
    </row>
    <row r="12" spans="1:13" x14ac:dyDescent="0.25">
      <c r="A12" s="3" t="s">
        <v>47</v>
      </c>
      <c r="B12" s="3" t="s">
        <v>187</v>
      </c>
      <c r="C12" s="3">
        <v>9</v>
      </c>
      <c r="D12" s="3">
        <v>9</v>
      </c>
      <c r="E12" s="3">
        <f>7+2</f>
        <v>9</v>
      </c>
      <c r="F12" s="3">
        <f>2-2+0</f>
        <v>0</v>
      </c>
      <c r="G12" s="3">
        <v>0</v>
      </c>
    </row>
    <row r="13" spans="1:13" x14ac:dyDescent="0.25">
      <c r="A13" t="s">
        <v>47</v>
      </c>
      <c r="B13" t="s">
        <v>6</v>
      </c>
      <c r="C13">
        <v>50</v>
      </c>
      <c r="D13">
        <v>50</v>
      </c>
      <c r="E13">
        <v>50</v>
      </c>
      <c r="F13">
        <v>0</v>
      </c>
      <c r="G13">
        <v>0</v>
      </c>
    </row>
    <row r="14" spans="1:13" x14ac:dyDescent="0.25">
      <c r="A14" s="3" t="s">
        <v>47</v>
      </c>
      <c r="B14" s="3" t="s">
        <v>6</v>
      </c>
      <c r="C14" s="3">
        <v>9</v>
      </c>
      <c r="D14" s="3">
        <v>9</v>
      </c>
      <c r="E14" s="3">
        <v>9</v>
      </c>
      <c r="F14" s="3">
        <v>0</v>
      </c>
      <c r="G14" s="3">
        <v>0</v>
      </c>
    </row>
    <row r="15" spans="1:13" x14ac:dyDescent="0.25">
      <c r="A15" t="s">
        <v>47</v>
      </c>
      <c r="B15" t="s">
        <v>7</v>
      </c>
      <c r="C15">
        <v>40</v>
      </c>
      <c r="D15">
        <v>20</v>
      </c>
      <c r="E15">
        <v>19</v>
      </c>
      <c r="F15">
        <v>1</v>
      </c>
      <c r="G15">
        <v>0</v>
      </c>
    </row>
    <row r="16" spans="1:13" x14ac:dyDescent="0.25">
      <c r="A16" s="3" t="s">
        <v>47</v>
      </c>
      <c r="B16" s="3" t="s">
        <v>7</v>
      </c>
      <c r="C16" s="3">
        <v>4</v>
      </c>
      <c r="D16" s="3">
        <v>3</v>
      </c>
      <c r="E16" s="3">
        <v>1</v>
      </c>
      <c r="F16" s="3">
        <v>2</v>
      </c>
      <c r="G16" s="3">
        <v>0</v>
      </c>
    </row>
    <row r="17" spans="1:12" x14ac:dyDescent="0.25">
      <c r="A17" t="s">
        <v>47</v>
      </c>
      <c r="B17" t="s">
        <v>8</v>
      </c>
      <c r="C17">
        <v>22</v>
      </c>
      <c r="D17">
        <v>22</v>
      </c>
      <c r="E17">
        <v>22</v>
      </c>
      <c r="F17">
        <v>0</v>
      </c>
      <c r="G17">
        <v>0</v>
      </c>
    </row>
    <row r="18" spans="1:12" x14ac:dyDescent="0.25">
      <c r="A18" s="3" t="s">
        <v>47</v>
      </c>
      <c r="B18" s="3" t="s">
        <v>8</v>
      </c>
      <c r="C18" s="3">
        <v>7</v>
      </c>
      <c r="D18" s="3">
        <v>5</v>
      </c>
      <c r="E18" s="3">
        <v>3</v>
      </c>
      <c r="F18" s="3">
        <v>2</v>
      </c>
      <c r="G18" s="3">
        <v>0</v>
      </c>
    </row>
    <row r="19" spans="1:12" x14ac:dyDescent="0.25">
      <c r="A19" t="s">
        <v>47</v>
      </c>
      <c r="B19" t="s">
        <v>9</v>
      </c>
      <c r="C19">
        <v>15</v>
      </c>
      <c r="D19">
        <v>15</v>
      </c>
      <c r="E19">
        <v>15</v>
      </c>
      <c r="F19">
        <v>0</v>
      </c>
      <c r="G19">
        <v>0</v>
      </c>
    </row>
    <row r="20" spans="1:12" x14ac:dyDescent="0.25">
      <c r="A20" s="3" t="s">
        <v>47</v>
      </c>
      <c r="B20" s="3" t="s">
        <v>9</v>
      </c>
      <c r="C20" s="3">
        <v>1</v>
      </c>
      <c r="D20" s="3">
        <v>1</v>
      </c>
      <c r="E20" s="3">
        <v>1</v>
      </c>
      <c r="F20" s="3">
        <v>0</v>
      </c>
      <c r="G20" s="3">
        <v>0</v>
      </c>
    </row>
    <row r="21" spans="1:12" x14ac:dyDescent="0.25">
      <c r="A21" t="s">
        <v>47</v>
      </c>
      <c r="B21" t="s">
        <v>10</v>
      </c>
      <c r="C21">
        <v>59</v>
      </c>
      <c r="D21">
        <v>59</v>
      </c>
      <c r="E21">
        <v>56</v>
      </c>
      <c r="F21">
        <v>3</v>
      </c>
      <c r="G21">
        <v>0</v>
      </c>
    </row>
    <row r="22" spans="1:12" x14ac:dyDescent="0.25">
      <c r="A22" s="3" t="s">
        <v>47</v>
      </c>
      <c r="B22" s="3" t="s">
        <v>10</v>
      </c>
      <c r="C22" s="3">
        <v>32</v>
      </c>
      <c r="D22" s="3">
        <v>32</v>
      </c>
      <c r="E22" s="3">
        <v>24</v>
      </c>
      <c r="F22" s="3">
        <v>8</v>
      </c>
      <c r="G22" s="3">
        <v>0</v>
      </c>
    </row>
    <row r="23" spans="1:12" x14ac:dyDescent="0.25">
      <c r="A23" t="s">
        <v>47</v>
      </c>
      <c r="B23" t="s">
        <v>177</v>
      </c>
      <c r="C23">
        <v>39</v>
      </c>
      <c r="D23">
        <v>38</v>
      </c>
      <c r="E23">
        <v>38</v>
      </c>
      <c r="F23">
        <v>0</v>
      </c>
      <c r="G23">
        <v>0</v>
      </c>
    </row>
    <row r="24" spans="1:12" x14ac:dyDescent="0.25">
      <c r="A24" s="3" t="s">
        <v>47</v>
      </c>
      <c r="B24" s="3" t="s">
        <v>177</v>
      </c>
      <c r="C24" s="3">
        <v>19</v>
      </c>
      <c r="D24" s="3">
        <v>19</v>
      </c>
      <c r="E24" s="3">
        <v>14</v>
      </c>
      <c r="F24" s="3">
        <v>5</v>
      </c>
      <c r="G24" s="3">
        <v>0</v>
      </c>
    </row>
    <row r="25" spans="1:12" x14ac:dyDescent="0.25">
      <c r="A25" t="s">
        <v>77</v>
      </c>
      <c r="B25" t="s">
        <v>2</v>
      </c>
      <c r="C25">
        <v>4</v>
      </c>
      <c r="D25">
        <v>4</v>
      </c>
      <c r="E25">
        <f>2+1</f>
        <v>3</v>
      </c>
      <c r="F25">
        <f>2-1+0</f>
        <v>1</v>
      </c>
      <c r="G25">
        <v>0</v>
      </c>
    </row>
    <row r="26" spans="1:12" x14ac:dyDescent="0.25">
      <c r="A26" t="s">
        <v>77</v>
      </c>
      <c r="B26" t="s">
        <v>4</v>
      </c>
      <c r="C26">
        <v>1</v>
      </c>
      <c r="D26">
        <v>0</v>
      </c>
      <c r="E26">
        <v>0</v>
      </c>
      <c r="F26">
        <v>0</v>
      </c>
      <c r="G26">
        <v>0</v>
      </c>
    </row>
    <row r="27" spans="1:12" x14ac:dyDescent="0.25">
      <c r="A27" t="s">
        <v>77</v>
      </c>
      <c r="B27" t="s">
        <v>5</v>
      </c>
      <c r="C27">
        <v>118</v>
      </c>
      <c r="D27">
        <v>114</v>
      </c>
      <c r="E27">
        <f>76+12</f>
        <v>88</v>
      </c>
      <c r="F27">
        <f>39-23+10</f>
        <v>26</v>
      </c>
      <c r="G27">
        <v>0</v>
      </c>
    </row>
    <row r="28" spans="1:12" x14ac:dyDescent="0.25">
      <c r="A28" s="3" t="s">
        <v>77</v>
      </c>
      <c r="B28" s="3" t="s">
        <v>5</v>
      </c>
      <c r="C28" s="3">
        <v>60</v>
      </c>
      <c r="D28" s="3">
        <v>54</v>
      </c>
      <c r="E28" s="3">
        <v>35</v>
      </c>
      <c r="F28" s="3">
        <v>19</v>
      </c>
      <c r="G28" s="3">
        <v>0</v>
      </c>
      <c r="I28">
        <v>838</v>
      </c>
      <c r="J28">
        <v>806</v>
      </c>
      <c r="K28">
        <v>411</v>
      </c>
      <c r="L28">
        <v>3</v>
      </c>
    </row>
    <row r="29" spans="1:12" x14ac:dyDescent="0.25">
      <c r="A29" t="s">
        <v>77</v>
      </c>
      <c r="B29" t="s">
        <v>185</v>
      </c>
      <c r="C29">
        <f>66+35</f>
        <v>101</v>
      </c>
      <c r="D29">
        <f>62+35</f>
        <v>97</v>
      </c>
      <c r="E29">
        <f>27+28</f>
        <v>55</v>
      </c>
      <c r="F29">
        <f>35+7</f>
        <v>42</v>
      </c>
      <c r="G29">
        <v>0</v>
      </c>
    </row>
    <row r="30" spans="1:12" x14ac:dyDescent="0.25">
      <c r="A30" s="3" t="s">
        <v>77</v>
      </c>
      <c r="B30" s="3" t="s">
        <v>185</v>
      </c>
      <c r="C30" s="3">
        <v>72</v>
      </c>
      <c r="D30" s="3">
        <v>67</v>
      </c>
      <c r="E30" s="3">
        <f>45+12</f>
        <v>57</v>
      </c>
      <c r="F30" s="3">
        <f>23-22+9</f>
        <v>10</v>
      </c>
      <c r="G30" s="3">
        <v>0</v>
      </c>
    </row>
    <row r="31" spans="1:12" x14ac:dyDescent="0.25">
      <c r="A31" t="s">
        <v>77</v>
      </c>
      <c r="B31" t="s">
        <v>186</v>
      </c>
      <c r="C31">
        <v>12</v>
      </c>
      <c r="D31">
        <v>12</v>
      </c>
      <c r="E31">
        <v>0</v>
      </c>
      <c r="F31">
        <v>12</v>
      </c>
      <c r="G31">
        <v>0</v>
      </c>
    </row>
    <row r="32" spans="1:12" x14ac:dyDescent="0.25">
      <c r="A32" s="3" t="s">
        <v>77</v>
      </c>
      <c r="B32" s="3" t="s">
        <v>186</v>
      </c>
      <c r="C32" s="3">
        <v>12</v>
      </c>
      <c r="D32" s="3">
        <v>12</v>
      </c>
      <c r="E32" s="3">
        <v>0</v>
      </c>
      <c r="F32" s="3">
        <v>12</v>
      </c>
      <c r="G32" s="3">
        <v>0</v>
      </c>
    </row>
    <row r="33" spans="1:7" x14ac:dyDescent="0.25">
      <c r="A33" t="s">
        <v>77</v>
      </c>
      <c r="B33" t="s">
        <v>187</v>
      </c>
      <c r="C33">
        <f>169+2</f>
        <v>171</v>
      </c>
      <c r="D33">
        <f>165+2</f>
        <v>167</v>
      </c>
      <c r="E33">
        <f>117+1</f>
        <v>118</v>
      </c>
      <c r="F33">
        <f>48+1</f>
        <v>49</v>
      </c>
      <c r="G33">
        <v>1</v>
      </c>
    </row>
    <row r="34" spans="1:7" x14ac:dyDescent="0.25">
      <c r="A34" s="3" t="s">
        <v>77</v>
      </c>
      <c r="B34" s="3" t="s">
        <v>187</v>
      </c>
      <c r="C34" s="3">
        <v>101</v>
      </c>
      <c r="D34" s="3">
        <v>96</v>
      </c>
      <c r="E34" s="3">
        <f>58+14</f>
        <v>72</v>
      </c>
      <c r="F34" s="3">
        <f>40-27+11</f>
        <v>24</v>
      </c>
      <c r="G34" s="3">
        <v>0</v>
      </c>
    </row>
    <row r="35" spans="1:7" x14ac:dyDescent="0.25">
      <c r="A35" t="s">
        <v>77</v>
      </c>
      <c r="B35" t="s">
        <v>6</v>
      </c>
      <c r="C35">
        <v>234</v>
      </c>
      <c r="D35">
        <v>234</v>
      </c>
      <c r="E35">
        <v>233</v>
      </c>
      <c r="F35">
        <v>1</v>
      </c>
      <c r="G35">
        <v>0</v>
      </c>
    </row>
    <row r="36" spans="1:7" x14ac:dyDescent="0.25">
      <c r="A36" s="3" t="s">
        <v>77</v>
      </c>
      <c r="B36" s="3" t="s">
        <v>6</v>
      </c>
      <c r="C36" s="3">
        <v>109</v>
      </c>
      <c r="D36" s="3">
        <v>108</v>
      </c>
      <c r="E36" s="3">
        <v>107</v>
      </c>
      <c r="F36" s="3">
        <v>1</v>
      </c>
      <c r="G36" s="3">
        <v>0</v>
      </c>
    </row>
    <row r="37" spans="1:7" x14ac:dyDescent="0.25">
      <c r="A37" t="s">
        <v>77</v>
      </c>
      <c r="B37" t="s">
        <v>7</v>
      </c>
      <c r="C37">
        <v>137</v>
      </c>
      <c r="D37">
        <v>132</v>
      </c>
      <c r="E37">
        <v>69</v>
      </c>
      <c r="F37">
        <v>63</v>
      </c>
      <c r="G37">
        <v>0</v>
      </c>
    </row>
    <row r="38" spans="1:7" x14ac:dyDescent="0.25">
      <c r="A38" s="3" t="s">
        <v>77</v>
      </c>
      <c r="B38" s="3" t="s">
        <v>7</v>
      </c>
      <c r="C38" s="3">
        <v>35</v>
      </c>
      <c r="D38" s="3">
        <v>31</v>
      </c>
      <c r="E38" s="3">
        <v>25</v>
      </c>
      <c r="F38" s="3">
        <v>6</v>
      </c>
      <c r="G38" s="3">
        <v>0</v>
      </c>
    </row>
    <row r="39" spans="1:7" x14ac:dyDescent="0.25">
      <c r="A39" t="s">
        <v>77</v>
      </c>
      <c r="B39" t="s">
        <v>8</v>
      </c>
      <c r="C39">
        <v>44</v>
      </c>
      <c r="D39">
        <v>40</v>
      </c>
      <c r="E39">
        <v>31</v>
      </c>
      <c r="F39">
        <v>9</v>
      </c>
      <c r="G39">
        <v>0</v>
      </c>
    </row>
    <row r="40" spans="1:7" x14ac:dyDescent="0.25">
      <c r="A40" s="3" t="s">
        <v>77</v>
      </c>
      <c r="B40" s="3" t="s">
        <v>8</v>
      </c>
      <c r="C40" s="3">
        <v>55</v>
      </c>
      <c r="D40" s="3">
        <v>51</v>
      </c>
      <c r="E40" s="3">
        <v>22</v>
      </c>
      <c r="F40" s="3">
        <v>29</v>
      </c>
      <c r="G40" s="3">
        <v>0</v>
      </c>
    </row>
    <row r="41" spans="1:7" x14ac:dyDescent="0.25">
      <c r="A41" t="s">
        <v>77</v>
      </c>
      <c r="B41" t="s">
        <v>9</v>
      </c>
      <c r="C41">
        <v>52</v>
      </c>
      <c r="D41">
        <v>49</v>
      </c>
      <c r="E41">
        <v>34</v>
      </c>
      <c r="F41">
        <v>15</v>
      </c>
      <c r="G41">
        <v>0</v>
      </c>
    </row>
    <row r="42" spans="1:7" x14ac:dyDescent="0.25">
      <c r="A42" s="3" t="s">
        <v>77</v>
      </c>
      <c r="B42" s="3" t="s">
        <v>9</v>
      </c>
      <c r="C42" s="3">
        <v>14</v>
      </c>
      <c r="D42" s="3">
        <v>13</v>
      </c>
      <c r="E42" s="3">
        <v>13</v>
      </c>
      <c r="F42" s="3">
        <v>0</v>
      </c>
      <c r="G42" s="3">
        <v>0</v>
      </c>
    </row>
    <row r="43" spans="1:7" x14ac:dyDescent="0.25">
      <c r="A43" t="s">
        <v>77</v>
      </c>
      <c r="B43" t="s">
        <v>10</v>
      </c>
      <c r="C43">
        <v>100</v>
      </c>
      <c r="D43">
        <v>99</v>
      </c>
      <c r="E43">
        <v>86</v>
      </c>
      <c r="F43">
        <v>13</v>
      </c>
      <c r="G43">
        <v>1</v>
      </c>
    </row>
    <row r="44" spans="1:7" x14ac:dyDescent="0.25">
      <c r="A44" s="3" t="s">
        <v>77</v>
      </c>
      <c r="B44" s="3" t="s">
        <v>10</v>
      </c>
      <c r="C44" s="3">
        <v>73</v>
      </c>
      <c r="D44" s="3">
        <v>73</v>
      </c>
      <c r="E44" s="3">
        <v>59</v>
      </c>
      <c r="F44" s="3">
        <v>14</v>
      </c>
      <c r="G44" s="3">
        <v>0</v>
      </c>
    </row>
    <row r="45" spans="1:7" x14ac:dyDescent="0.25">
      <c r="A45" t="s">
        <v>77</v>
      </c>
      <c r="B45" t="s">
        <v>177</v>
      </c>
      <c r="C45">
        <v>113</v>
      </c>
      <c r="D45">
        <v>108</v>
      </c>
      <c r="E45">
        <v>74</v>
      </c>
      <c r="F45">
        <v>34</v>
      </c>
      <c r="G45">
        <v>0</v>
      </c>
    </row>
    <row r="46" spans="1:7" x14ac:dyDescent="0.25">
      <c r="A46" s="3" t="s">
        <v>77</v>
      </c>
      <c r="B46" s="3" t="s">
        <v>177</v>
      </c>
      <c r="C46" s="3">
        <v>22</v>
      </c>
      <c r="D46" s="3">
        <v>17</v>
      </c>
      <c r="E46" s="3">
        <v>15</v>
      </c>
      <c r="F46" s="3">
        <v>2</v>
      </c>
      <c r="G46" s="3">
        <v>0</v>
      </c>
    </row>
    <row r="47" spans="1:7" x14ac:dyDescent="0.25">
      <c r="A47" s="3" t="s">
        <v>184</v>
      </c>
      <c r="B47" s="3" t="s">
        <v>2</v>
      </c>
      <c r="C47" s="3">
        <v>3</v>
      </c>
      <c r="D47" s="3">
        <v>3</v>
      </c>
      <c r="E47" s="3">
        <v>3</v>
      </c>
      <c r="F47" s="3">
        <v>0</v>
      </c>
      <c r="G47" s="3">
        <v>0</v>
      </c>
    </row>
    <row r="48" spans="1:7" x14ac:dyDescent="0.25">
      <c r="A48" t="s">
        <v>184</v>
      </c>
      <c r="B48" t="s">
        <v>4</v>
      </c>
      <c r="C48">
        <v>2</v>
      </c>
      <c r="D48">
        <v>0</v>
      </c>
      <c r="E48">
        <v>0</v>
      </c>
      <c r="F48">
        <v>0</v>
      </c>
      <c r="G48">
        <v>0</v>
      </c>
    </row>
    <row r="49" spans="1:12" x14ac:dyDescent="0.25">
      <c r="A49" t="s">
        <v>184</v>
      </c>
      <c r="B49" t="s">
        <v>5</v>
      </c>
      <c r="C49">
        <v>34</v>
      </c>
      <c r="D49">
        <v>34</v>
      </c>
      <c r="E49">
        <v>15</v>
      </c>
      <c r="F49">
        <v>19</v>
      </c>
      <c r="G49">
        <v>0</v>
      </c>
      <c r="I49">
        <v>1025</v>
      </c>
      <c r="J49">
        <v>989</v>
      </c>
      <c r="K49">
        <v>557</v>
      </c>
      <c r="L49">
        <v>4</v>
      </c>
    </row>
    <row r="50" spans="1:12" x14ac:dyDescent="0.25">
      <c r="A50" s="3" t="s">
        <v>184</v>
      </c>
      <c r="B50" s="3" t="s">
        <v>5</v>
      </c>
      <c r="C50" s="3">
        <v>51</v>
      </c>
      <c r="D50" s="3">
        <v>47</v>
      </c>
      <c r="E50" s="3">
        <f>31+12</f>
        <v>43</v>
      </c>
      <c r="F50" s="3">
        <f>16-13+1</f>
        <v>4</v>
      </c>
      <c r="G50" s="3">
        <v>0</v>
      </c>
    </row>
    <row r="51" spans="1:12" x14ac:dyDescent="0.25">
      <c r="A51" t="s">
        <v>184</v>
      </c>
      <c r="B51" t="s">
        <v>185</v>
      </c>
      <c r="C51">
        <f>15+2</f>
        <v>17</v>
      </c>
      <c r="D51">
        <f>15+2</f>
        <v>17</v>
      </c>
      <c r="E51">
        <v>4</v>
      </c>
      <c r="F51">
        <v>13</v>
      </c>
      <c r="G51">
        <v>0</v>
      </c>
    </row>
    <row r="52" spans="1:12" x14ac:dyDescent="0.25">
      <c r="A52" s="3" t="s">
        <v>184</v>
      </c>
      <c r="B52" s="3" t="s">
        <v>185</v>
      </c>
      <c r="C52" s="3">
        <v>40</v>
      </c>
      <c r="D52" s="3">
        <v>40</v>
      </c>
      <c r="E52" s="3">
        <f>17+6</f>
        <v>23</v>
      </c>
      <c r="F52" s="3">
        <f>23-10+4</f>
        <v>17</v>
      </c>
      <c r="G52" s="3">
        <v>0</v>
      </c>
    </row>
    <row r="53" spans="1:12" x14ac:dyDescent="0.25">
      <c r="A53" t="s">
        <v>184</v>
      </c>
      <c r="B53" t="s">
        <v>186</v>
      </c>
      <c r="C53">
        <v>6</v>
      </c>
      <c r="D53">
        <v>6</v>
      </c>
      <c r="E53">
        <v>0</v>
      </c>
      <c r="F53">
        <v>6</v>
      </c>
      <c r="G53">
        <v>0</v>
      </c>
    </row>
    <row r="54" spans="1:12" x14ac:dyDescent="0.25">
      <c r="A54" s="3" t="s">
        <v>184</v>
      </c>
      <c r="B54" s="3" t="s">
        <v>186</v>
      </c>
      <c r="C54" s="3">
        <v>7</v>
      </c>
      <c r="D54" s="3">
        <v>7</v>
      </c>
      <c r="E54" s="3">
        <v>0</v>
      </c>
      <c r="F54" s="3">
        <v>7</v>
      </c>
      <c r="G54" s="3">
        <v>0</v>
      </c>
    </row>
    <row r="55" spans="1:12" x14ac:dyDescent="0.25">
      <c r="A55" t="s">
        <v>184</v>
      </c>
      <c r="B55" t="s">
        <v>187</v>
      </c>
      <c r="C55">
        <v>109</v>
      </c>
      <c r="D55">
        <v>107</v>
      </c>
      <c r="E55">
        <f>52+27</f>
        <v>79</v>
      </c>
      <c r="F55">
        <f>55-31+4</f>
        <v>28</v>
      </c>
      <c r="G55">
        <v>0</v>
      </c>
    </row>
    <row r="56" spans="1:12" x14ac:dyDescent="0.25">
      <c r="A56" s="3" t="s">
        <v>184</v>
      </c>
      <c r="B56" s="3" t="s">
        <v>187</v>
      </c>
      <c r="C56" s="3">
        <v>181</v>
      </c>
      <c r="D56" s="3">
        <v>179</v>
      </c>
      <c r="E56" s="3">
        <v>105</v>
      </c>
      <c r="F56" s="3">
        <v>74</v>
      </c>
      <c r="G56" s="3">
        <v>0</v>
      </c>
    </row>
    <row r="57" spans="1:12" x14ac:dyDescent="0.25">
      <c r="A57" t="s">
        <v>184</v>
      </c>
      <c r="B57" t="s">
        <v>6</v>
      </c>
      <c r="C57">
        <v>79</v>
      </c>
      <c r="D57">
        <v>79</v>
      </c>
      <c r="E57">
        <v>78</v>
      </c>
      <c r="F57">
        <v>1</v>
      </c>
      <c r="G57">
        <v>0</v>
      </c>
    </row>
    <row r="58" spans="1:12" x14ac:dyDescent="0.25">
      <c r="A58" s="3" t="s">
        <v>184</v>
      </c>
      <c r="B58" s="3" t="s">
        <v>6</v>
      </c>
      <c r="C58" s="3">
        <v>100</v>
      </c>
      <c r="D58" s="3">
        <v>99</v>
      </c>
      <c r="E58" s="3">
        <v>89</v>
      </c>
      <c r="F58" s="3">
        <v>10</v>
      </c>
      <c r="G58" s="3">
        <v>0</v>
      </c>
    </row>
    <row r="59" spans="1:12" x14ac:dyDescent="0.25">
      <c r="A59" t="s">
        <v>184</v>
      </c>
      <c r="B59" t="s">
        <v>7</v>
      </c>
      <c r="C59">
        <v>25</v>
      </c>
      <c r="D59">
        <v>24</v>
      </c>
      <c r="E59">
        <v>15</v>
      </c>
      <c r="F59">
        <v>9</v>
      </c>
      <c r="G59">
        <v>0</v>
      </c>
    </row>
    <row r="60" spans="1:12" x14ac:dyDescent="0.25">
      <c r="A60" s="3" t="s">
        <v>184</v>
      </c>
      <c r="B60" s="3" t="s">
        <v>7</v>
      </c>
      <c r="C60" s="3">
        <v>13</v>
      </c>
      <c r="D60" s="3">
        <v>12</v>
      </c>
      <c r="E60" s="3">
        <v>9</v>
      </c>
      <c r="F60" s="3">
        <v>3</v>
      </c>
      <c r="G60" s="3">
        <v>0</v>
      </c>
    </row>
    <row r="61" spans="1:12" x14ac:dyDescent="0.25">
      <c r="A61" t="s">
        <v>184</v>
      </c>
      <c r="B61" t="s">
        <v>8</v>
      </c>
      <c r="C61">
        <v>14</v>
      </c>
      <c r="D61">
        <v>14</v>
      </c>
      <c r="E61">
        <v>6</v>
      </c>
      <c r="F61">
        <v>8</v>
      </c>
      <c r="G61">
        <v>0</v>
      </c>
    </row>
    <row r="62" spans="1:12" x14ac:dyDescent="0.25">
      <c r="A62" s="3" t="s">
        <v>184</v>
      </c>
      <c r="B62" s="3" t="s">
        <v>8</v>
      </c>
      <c r="C62" s="3">
        <v>8</v>
      </c>
      <c r="D62" s="3">
        <v>7</v>
      </c>
      <c r="E62" s="3">
        <v>3</v>
      </c>
      <c r="F62" s="3">
        <v>4</v>
      </c>
      <c r="G62" s="3">
        <v>0</v>
      </c>
    </row>
    <row r="63" spans="1:12" x14ac:dyDescent="0.25">
      <c r="A63" t="s">
        <v>184</v>
      </c>
      <c r="B63" t="s">
        <v>9</v>
      </c>
      <c r="C63">
        <v>4</v>
      </c>
      <c r="D63">
        <v>4</v>
      </c>
      <c r="E63">
        <v>4</v>
      </c>
      <c r="F63">
        <v>0</v>
      </c>
      <c r="G63">
        <v>0</v>
      </c>
    </row>
    <row r="64" spans="1:12" x14ac:dyDescent="0.25">
      <c r="A64" s="3" t="s">
        <v>184</v>
      </c>
      <c r="B64" s="3" t="s">
        <v>9</v>
      </c>
      <c r="C64" s="3">
        <v>6</v>
      </c>
      <c r="D64" s="3">
        <v>6</v>
      </c>
      <c r="E64" s="3">
        <v>6</v>
      </c>
      <c r="F64" s="3">
        <v>0</v>
      </c>
      <c r="G64" s="3">
        <v>0</v>
      </c>
    </row>
    <row r="65" spans="1:12" x14ac:dyDescent="0.25">
      <c r="A65" t="s">
        <v>184</v>
      </c>
      <c r="B65" t="s">
        <v>10</v>
      </c>
      <c r="C65">
        <v>55</v>
      </c>
      <c r="D65">
        <v>55</v>
      </c>
      <c r="E65">
        <v>49</v>
      </c>
      <c r="F65">
        <v>6</v>
      </c>
      <c r="G65">
        <v>0</v>
      </c>
    </row>
    <row r="66" spans="1:12" x14ac:dyDescent="0.25">
      <c r="A66" s="3" t="s">
        <v>184</v>
      </c>
      <c r="B66" s="3" t="s">
        <v>10</v>
      </c>
      <c r="C66" s="3">
        <v>42</v>
      </c>
      <c r="D66" s="3">
        <v>41</v>
      </c>
      <c r="E66" s="3">
        <v>33</v>
      </c>
      <c r="F66" s="3">
        <v>8</v>
      </c>
      <c r="G66" s="3">
        <v>0</v>
      </c>
    </row>
    <row r="67" spans="1:12" x14ac:dyDescent="0.25">
      <c r="A67" t="s">
        <v>184</v>
      </c>
      <c r="B67" t="s">
        <v>177</v>
      </c>
      <c r="C67">
        <v>41</v>
      </c>
      <c r="D67">
        <v>41</v>
      </c>
      <c r="E67">
        <v>20</v>
      </c>
      <c r="F67">
        <v>21</v>
      </c>
      <c r="G67">
        <v>0</v>
      </c>
    </row>
    <row r="68" spans="1:12" x14ac:dyDescent="0.25">
      <c r="A68" s="3" t="s">
        <v>184</v>
      </c>
      <c r="B68" s="3" t="s">
        <v>177</v>
      </c>
      <c r="C68" s="3">
        <v>20</v>
      </c>
      <c r="D68" s="3">
        <v>18</v>
      </c>
      <c r="E68" s="3">
        <v>17</v>
      </c>
      <c r="F68" s="3">
        <v>1</v>
      </c>
      <c r="G68" s="3">
        <v>0</v>
      </c>
    </row>
    <row r="69" spans="1:12" x14ac:dyDescent="0.25">
      <c r="A69" t="s">
        <v>22</v>
      </c>
      <c r="B69" t="s">
        <v>2</v>
      </c>
      <c r="C69">
        <v>1</v>
      </c>
      <c r="D69">
        <v>1</v>
      </c>
      <c r="E69">
        <v>1</v>
      </c>
      <c r="F69">
        <v>0</v>
      </c>
      <c r="G69">
        <v>0</v>
      </c>
    </row>
    <row r="70" spans="1:12" x14ac:dyDescent="0.25">
      <c r="A70" t="s">
        <v>22</v>
      </c>
      <c r="B70" t="s">
        <v>5</v>
      </c>
      <c r="C70">
        <v>14</v>
      </c>
      <c r="D70">
        <v>14</v>
      </c>
      <c r="E70">
        <v>3</v>
      </c>
      <c r="F70">
        <v>11</v>
      </c>
      <c r="G70">
        <v>0</v>
      </c>
    </row>
    <row r="71" spans="1:12" x14ac:dyDescent="0.25">
      <c r="A71" s="3" t="s">
        <v>22</v>
      </c>
      <c r="B71" s="3" t="s">
        <v>5</v>
      </c>
      <c r="C71" s="3">
        <v>35</v>
      </c>
      <c r="D71" s="3">
        <v>34</v>
      </c>
      <c r="E71" s="3">
        <f>19+9</f>
        <v>28</v>
      </c>
      <c r="F71" s="3">
        <f>15-10+1</f>
        <v>6</v>
      </c>
      <c r="G71" s="3">
        <v>1</v>
      </c>
    </row>
    <row r="72" spans="1:12" x14ac:dyDescent="0.25">
      <c r="A72" t="s">
        <v>22</v>
      </c>
      <c r="B72" t="s">
        <v>185</v>
      </c>
      <c r="C72">
        <f>61+11</f>
        <v>72</v>
      </c>
      <c r="D72">
        <f>58+11</f>
        <v>69</v>
      </c>
      <c r="E72">
        <f>28+20</f>
        <v>48</v>
      </c>
      <c r="F72">
        <f>41-29+9</f>
        <v>21</v>
      </c>
      <c r="G72">
        <v>1</v>
      </c>
      <c r="I72">
        <v>1755</v>
      </c>
      <c r="J72">
        <v>1721</v>
      </c>
      <c r="K72">
        <v>897</v>
      </c>
      <c r="L72">
        <v>2</v>
      </c>
    </row>
    <row r="73" spans="1:12" x14ac:dyDescent="0.25">
      <c r="A73" s="3" t="s">
        <v>22</v>
      </c>
      <c r="B73" s="3" t="s">
        <v>185</v>
      </c>
      <c r="C73" s="3">
        <v>42</v>
      </c>
      <c r="D73" s="3">
        <v>42</v>
      </c>
      <c r="E73" s="3">
        <v>29</v>
      </c>
      <c r="F73" s="3">
        <v>13</v>
      </c>
      <c r="G73" s="3">
        <v>0</v>
      </c>
    </row>
    <row r="74" spans="1:12" x14ac:dyDescent="0.25">
      <c r="A74" t="s">
        <v>22</v>
      </c>
      <c r="B74" t="s">
        <v>186</v>
      </c>
      <c r="C74">
        <f>71+15</f>
        <v>86</v>
      </c>
      <c r="D74">
        <v>83</v>
      </c>
      <c r="E74">
        <f>32+25</f>
        <v>57</v>
      </c>
      <c r="F74">
        <f>52-43+17</f>
        <v>26</v>
      </c>
      <c r="G74">
        <v>0</v>
      </c>
    </row>
    <row r="75" spans="1:12" x14ac:dyDescent="0.25">
      <c r="A75" s="3" t="s">
        <v>22</v>
      </c>
      <c r="B75" s="3" t="s">
        <v>186</v>
      </c>
      <c r="C75" s="3">
        <v>68</v>
      </c>
      <c r="D75" s="3">
        <v>60</v>
      </c>
      <c r="E75" s="3">
        <v>45</v>
      </c>
      <c r="F75" s="3">
        <v>15</v>
      </c>
      <c r="G75" s="3">
        <v>0</v>
      </c>
    </row>
    <row r="76" spans="1:12" x14ac:dyDescent="0.25">
      <c r="A76" t="s">
        <v>22</v>
      </c>
      <c r="B76" t="s">
        <v>187</v>
      </c>
      <c r="C76">
        <v>19</v>
      </c>
      <c r="D76">
        <v>19</v>
      </c>
      <c r="E76">
        <v>6</v>
      </c>
      <c r="F76">
        <v>13</v>
      </c>
      <c r="G76">
        <v>0</v>
      </c>
    </row>
    <row r="77" spans="1:12" x14ac:dyDescent="0.25">
      <c r="A77" s="3" t="s">
        <v>22</v>
      </c>
      <c r="B77" s="3" t="s">
        <v>187</v>
      </c>
      <c r="C77" s="3">
        <v>24</v>
      </c>
      <c r="D77" s="3">
        <v>23</v>
      </c>
      <c r="E77" s="3">
        <f>14+3</f>
        <v>17</v>
      </c>
      <c r="F77" s="3">
        <f>9-7+4</f>
        <v>6</v>
      </c>
      <c r="G77" s="3">
        <v>0</v>
      </c>
    </row>
    <row r="78" spans="1:12" x14ac:dyDescent="0.25">
      <c r="A78" t="s">
        <v>22</v>
      </c>
      <c r="B78" t="s">
        <v>6</v>
      </c>
      <c r="C78">
        <v>34</v>
      </c>
      <c r="D78">
        <v>33</v>
      </c>
      <c r="E78">
        <v>33</v>
      </c>
      <c r="F78">
        <v>0</v>
      </c>
      <c r="G78">
        <v>0</v>
      </c>
    </row>
    <row r="79" spans="1:12" x14ac:dyDescent="0.25">
      <c r="A79" s="3" t="s">
        <v>22</v>
      </c>
      <c r="B79" s="3" t="s">
        <v>6</v>
      </c>
      <c r="C79" s="3">
        <v>14</v>
      </c>
      <c r="D79" s="3">
        <v>14</v>
      </c>
      <c r="E79" s="3">
        <v>14</v>
      </c>
      <c r="F79" s="3">
        <v>0</v>
      </c>
      <c r="G79" s="3">
        <v>0</v>
      </c>
    </row>
    <row r="80" spans="1:12" x14ac:dyDescent="0.25">
      <c r="A80" t="s">
        <v>22</v>
      </c>
      <c r="B80" t="s">
        <v>7</v>
      </c>
      <c r="C80">
        <v>12</v>
      </c>
      <c r="D80">
        <v>9</v>
      </c>
      <c r="E80">
        <v>7</v>
      </c>
      <c r="F80">
        <v>2</v>
      </c>
      <c r="G80">
        <v>0</v>
      </c>
    </row>
    <row r="81" spans="1:7" x14ac:dyDescent="0.25">
      <c r="A81" s="3" t="s">
        <v>22</v>
      </c>
      <c r="B81" s="3" t="s">
        <v>7</v>
      </c>
      <c r="C81" s="3">
        <v>15</v>
      </c>
      <c r="D81" s="3">
        <v>14</v>
      </c>
      <c r="E81" s="3">
        <v>8</v>
      </c>
      <c r="F81" s="3">
        <v>6</v>
      </c>
      <c r="G81" s="3">
        <v>0</v>
      </c>
    </row>
    <row r="82" spans="1:7" x14ac:dyDescent="0.25">
      <c r="A82" t="s">
        <v>22</v>
      </c>
      <c r="B82" t="s">
        <v>8</v>
      </c>
      <c r="C82">
        <v>44</v>
      </c>
      <c r="D82">
        <v>43</v>
      </c>
      <c r="E82">
        <v>26</v>
      </c>
      <c r="F82">
        <v>17</v>
      </c>
      <c r="G82">
        <v>0</v>
      </c>
    </row>
    <row r="83" spans="1:7" x14ac:dyDescent="0.25">
      <c r="A83" s="3" t="s">
        <v>22</v>
      </c>
      <c r="B83" s="3" t="s">
        <v>8</v>
      </c>
      <c r="C83" s="3">
        <v>36</v>
      </c>
      <c r="D83" s="3">
        <v>36</v>
      </c>
      <c r="E83" s="3">
        <v>18</v>
      </c>
      <c r="F83" s="3">
        <v>18</v>
      </c>
      <c r="G83" s="3">
        <v>0</v>
      </c>
    </row>
    <row r="84" spans="1:7" x14ac:dyDescent="0.25">
      <c r="A84" t="s">
        <v>22</v>
      </c>
      <c r="B84" t="s">
        <v>9</v>
      </c>
      <c r="C84">
        <v>18</v>
      </c>
      <c r="D84">
        <v>14</v>
      </c>
      <c r="E84">
        <v>13</v>
      </c>
      <c r="F84">
        <v>1</v>
      </c>
      <c r="G84">
        <v>0</v>
      </c>
    </row>
    <row r="85" spans="1:7" x14ac:dyDescent="0.25">
      <c r="A85" s="3" t="s">
        <v>22</v>
      </c>
      <c r="B85" s="3" t="s">
        <v>9</v>
      </c>
      <c r="C85" s="3">
        <v>14</v>
      </c>
      <c r="D85" s="3">
        <v>12</v>
      </c>
      <c r="E85" s="3">
        <v>10</v>
      </c>
      <c r="F85" s="3">
        <v>2</v>
      </c>
      <c r="G85" s="3">
        <v>0</v>
      </c>
    </row>
    <row r="86" spans="1:7" x14ac:dyDescent="0.25">
      <c r="A86" t="s">
        <v>22</v>
      </c>
      <c r="B86" t="s">
        <v>10</v>
      </c>
      <c r="C86">
        <v>36</v>
      </c>
      <c r="D86">
        <v>36</v>
      </c>
      <c r="E86">
        <v>29</v>
      </c>
      <c r="F86">
        <v>7</v>
      </c>
      <c r="G86">
        <v>0</v>
      </c>
    </row>
    <row r="87" spans="1:7" x14ac:dyDescent="0.25">
      <c r="A87" s="3" t="s">
        <v>22</v>
      </c>
      <c r="B87" s="3" t="s">
        <v>10</v>
      </c>
      <c r="C87" s="3">
        <v>42</v>
      </c>
      <c r="D87" s="3">
        <v>42</v>
      </c>
      <c r="E87" s="3">
        <v>33</v>
      </c>
      <c r="F87" s="3">
        <v>9</v>
      </c>
      <c r="G87" s="3">
        <v>0</v>
      </c>
    </row>
    <row r="88" spans="1:7" x14ac:dyDescent="0.25">
      <c r="A88" t="s">
        <v>22</v>
      </c>
      <c r="B88" t="s">
        <v>177</v>
      </c>
      <c r="C88">
        <v>14</v>
      </c>
      <c r="D88">
        <v>14</v>
      </c>
      <c r="E88">
        <v>12</v>
      </c>
      <c r="F88">
        <v>2</v>
      </c>
      <c r="G88">
        <v>0</v>
      </c>
    </row>
    <row r="89" spans="1:7" x14ac:dyDescent="0.25">
      <c r="A89" s="3" t="s">
        <v>22</v>
      </c>
      <c r="B89" s="3" t="s">
        <v>177</v>
      </c>
      <c r="C89" s="3">
        <v>6</v>
      </c>
      <c r="D89" s="3">
        <v>6</v>
      </c>
      <c r="E89" s="3">
        <v>6</v>
      </c>
      <c r="F89" s="3">
        <v>0</v>
      </c>
      <c r="G89" s="3">
        <v>0</v>
      </c>
    </row>
    <row r="90" spans="1:7" x14ac:dyDescent="0.25">
      <c r="A90" t="s">
        <v>126</v>
      </c>
      <c r="B90" t="s">
        <v>2</v>
      </c>
      <c r="C90">
        <v>1</v>
      </c>
      <c r="D90">
        <v>0</v>
      </c>
      <c r="E90">
        <v>0</v>
      </c>
      <c r="F90">
        <v>0</v>
      </c>
      <c r="G90">
        <v>1</v>
      </c>
    </row>
    <row r="91" spans="1:7" x14ac:dyDescent="0.25">
      <c r="A91" t="s">
        <v>126</v>
      </c>
      <c r="B91" t="s">
        <v>4</v>
      </c>
      <c r="C91">
        <v>6</v>
      </c>
      <c r="D91">
        <v>0</v>
      </c>
      <c r="E91">
        <v>0</v>
      </c>
      <c r="F91">
        <v>0</v>
      </c>
      <c r="G91">
        <v>0</v>
      </c>
    </row>
    <row r="92" spans="1:7" x14ac:dyDescent="0.25">
      <c r="A92" t="s">
        <v>126</v>
      </c>
      <c r="B92" t="s">
        <v>5</v>
      </c>
      <c r="C92">
        <v>81</v>
      </c>
      <c r="D92">
        <v>78</v>
      </c>
      <c r="E92">
        <v>52</v>
      </c>
      <c r="F92">
        <v>26</v>
      </c>
      <c r="G92">
        <v>0</v>
      </c>
    </row>
    <row r="93" spans="1:7" x14ac:dyDescent="0.25">
      <c r="A93" s="3" t="s">
        <v>126</v>
      </c>
      <c r="B93" s="3" t="s">
        <v>5</v>
      </c>
      <c r="C93" s="3">
        <v>67</v>
      </c>
      <c r="D93" s="3">
        <v>66</v>
      </c>
      <c r="E93" s="3">
        <f>41+17</f>
        <v>58</v>
      </c>
      <c r="F93" s="3">
        <f>25-21+4</f>
        <v>8</v>
      </c>
      <c r="G93" s="3">
        <v>0</v>
      </c>
    </row>
    <row r="94" spans="1:7" x14ac:dyDescent="0.25">
      <c r="A94" t="s">
        <v>126</v>
      </c>
      <c r="B94" t="s">
        <v>185</v>
      </c>
      <c r="C94">
        <f>52+22</f>
        <v>74</v>
      </c>
      <c r="D94">
        <f>52+22</f>
        <v>74</v>
      </c>
      <c r="E94">
        <f>29+16</f>
        <v>45</v>
      </c>
      <c r="F94">
        <f>23+6</f>
        <v>29</v>
      </c>
      <c r="G94">
        <v>0</v>
      </c>
    </row>
    <row r="95" spans="1:7" x14ac:dyDescent="0.25">
      <c r="A95" s="3" t="s">
        <v>126</v>
      </c>
      <c r="B95" s="3" t="s">
        <v>185</v>
      </c>
      <c r="C95" s="3">
        <v>61</v>
      </c>
      <c r="D95" s="3">
        <v>58</v>
      </c>
      <c r="E95" s="3">
        <f>35+15</f>
        <v>50</v>
      </c>
      <c r="F95" s="3">
        <f>23-18+3</f>
        <v>8</v>
      </c>
      <c r="G95" s="3">
        <v>0</v>
      </c>
    </row>
    <row r="96" spans="1:7" x14ac:dyDescent="0.25">
      <c r="A96" t="s">
        <v>126</v>
      </c>
      <c r="B96" t="s">
        <v>186</v>
      </c>
      <c r="C96">
        <v>15</v>
      </c>
      <c r="D96">
        <v>15</v>
      </c>
      <c r="E96">
        <v>0</v>
      </c>
      <c r="F96">
        <v>15</v>
      </c>
      <c r="G96">
        <v>0</v>
      </c>
    </row>
    <row r="97" spans="1:7" x14ac:dyDescent="0.25">
      <c r="A97" s="3" t="s">
        <v>126</v>
      </c>
      <c r="B97" s="3" t="s">
        <v>186</v>
      </c>
      <c r="C97" s="3">
        <v>11</v>
      </c>
      <c r="D97" s="3">
        <v>11</v>
      </c>
      <c r="E97" s="3">
        <v>0</v>
      </c>
      <c r="F97" s="3">
        <v>11</v>
      </c>
      <c r="G97" s="3">
        <v>0</v>
      </c>
    </row>
    <row r="98" spans="1:7" x14ac:dyDescent="0.25">
      <c r="A98" t="s">
        <v>126</v>
      </c>
      <c r="B98" t="s">
        <v>187</v>
      </c>
      <c r="C98">
        <v>151</v>
      </c>
      <c r="D98">
        <v>148</v>
      </c>
      <c r="E98">
        <v>105</v>
      </c>
      <c r="F98">
        <v>43</v>
      </c>
      <c r="G98">
        <v>0</v>
      </c>
    </row>
    <row r="99" spans="1:7" x14ac:dyDescent="0.25">
      <c r="A99" s="3" t="s">
        <v>126</v>
      </c>
      <c r="B99" s="3" t="s">
        <v>187</v>
      </c>
      <c r="C99" s="3">
        <v>87</v>
      </c>
      <c r="D99" s="3">
        <v>83</v>
      </c>
      <c r="E99" s="3">
        <f>58+15</f>
        <v>73</v>
      </c>
      <c r="F99" s="3">
        <f>25-17+2</f>
        <v>10</v>
      </c>
      <c r="G99" s="3">
        <v>0</v>
      </c>
    </row>
    <row r="100" spans="1:7" x14ac:dyDescent="0.25">
      <c r="A100" t="s">
        <v>126</v>
      </c>
      <c r="B100" t="s">
        <v>6</v>
      </c>
      <c r="C100">
        <v>216</v>
      </c>
      <c r="D100">
        <v>212</v>
      </c>
      <c r="E100">
        <v>212</v>
      </c>
      <c r="F100">
        <v>0</v>
      </c>
      <c r="G100">
        <v>0</v>
      </c>
    </row>
    <row r="101" spans="1:7" x14ac:dyDescent="0.25">
      <c r="A101" s="3" t="s">
        <v>126</v>
      </c>
      <c r="B101" s="3" t="s">
        <v>6</v>
      </c>
      <c r="C101" s="3">
        <v>111</v>
      </c>
      <c r="D101" s="3">
        <v>107</v>
      </c>
      <c r="E101" s="3">
        <v>106</v>
      </c>
      <c r="F101" s="3">
        <v>1</v>
      </c>
      <c r="G101" s="3">
        <v>0</v>
      </c>
    </row>
    <row r="102" spans="1:7" x14ac:dyDescent="0.25">
      <c r="A102" t="s">
        <v>126</v>
      </c>
      <c r="B102" t="s">
        <v>7</v>
      </c>
      <c r="C102">
        <v>100</v>
      </c>
      <c r="D102">
        <v>57</v>
      </c>
      <c r="E102">
        <v>50</v>
      </c>
      <c r="F102">
        <v>7</v>
      </c>
      <c r="G102">
        <v>34</v>
      </c>
    </row>
    <row r="103" spans="1:7" x14ac:dyDescent="0.25">
      <c r="A103" s="3" t="s">
        <v>126</v>
      </c>
      <c r="B103" s="3" t="s">
        <v>7</v>
      </c>
      <c r="C103" s="3">
        <v>58</v>
      </c>
      <c r="D103" s="3">
        <v>29</v>
      </c>
      <c r="E103" s="3">
        <v>22</v>
      </c>
      <c r="F103" s="3">
        <v>7</v>
      </c>
      <c r="G103" s="3">
        <v>22</v>
      </c>
    </row>
    <row r="104" spans="1:7" x14ac:dyDescent="0.25">
      <c r="A104" t="s">
        <v>126</v>
      </c>
      <c r="B104" t="s">
        <v>8</v>
      </c>
      <c r="C104">
        <v>44</v>
      </c>
      <c r="D104">
        <v>44</v>
      </c>
      <c r="E104">
        <v>33</v>
      </c>
      <c r="F104">
        <v>11</v>
      </c>
      <c r="G104">
        <v>0</v>
      </c>
    </row>
    <row r="105" spans="1:7" x14ac:dyDescent="0.25">
      <c r="A105" s="3" t="s">
        <v>126</v>
      </c>
      <c r="B105" s="3" t="s">
        <v>8</v>
      </c>
      <c r="C105" s="3">
        <v>28</v>
      </c>
      <c r="D105" s="3">
        <v>28</v>
      </c>
      <c r="E105" s="3">
        <v>19</v>
      </c>
      <c r="F105" s="3">
        <v>9</v>
      </c>
      <c r="G105" s="3">
        <v>0</v>
      </c>
    </row>
    <row r="106" spans="1:7" x14ac:dyDescent="0.25">
      <c r="A106" t="s">
        <v>126</v>
      </c>
      <c r="B106" t="s">
        <v>9</v>
      </c>
      <c r="C106">
        <v>34</v>
      </c>
      <c r="D106">
        <v>33</v>
      </c>
      <c r="E106">
        <v>33</v>
      </c>
      <c r="F106">
        <v>0</v>
      </c>
      <c r="G106">
        <v>0</v>
      </c>
    </row>
    <row r="107" spans="1:7" x14ac:dyDescent="0.25">
      <c r="A107" s="3" t="s">
        <v>126</v>
      </c>
      <c r="B107" s="3" t="s">
        <v>9</v>
      </c>
      <c r="C107" s="3">
        <v>10</v>
      </c>
      <c r="D107" s="3">
        <v>10</v>
      </c>
      <c r="E107" s="3">
        <v>10</v>
      </c>
      <c r="F107" s="3">
        <v>0</v>
      </c>
      <c r="G107" s="3">
        <v>0</v>
      </c>
    </row>
    <row r="108" spans="1:7" x14ac:dyDescent="0.25">
      <c r="A108" t="s">
        <v>126</v>
      </c>
      <c r="B108" t="s">
        <v>10</v>
      </c>
      <c r="C108">
        <v>93</v>
      </c>
      <c r="D108">
        <v>92</v>
      </c>
      <c r="E108">
        <v>83</v>
      </c>
      <c r="F108">
        <v>9</v>
      </c>
      <c r="G108">
        <v>0</v>
      </c>
    </row>
    <row r="109" spans="1:7" x14ac:dyDescent="0.25">
      <c r="A109" s="3" t="s">
        <v>126</v>
      </c>
      <c r="B109" s="3" t="s">
        <v>10</v>
      </c>
      <c r="C109" s="3">
        <v>61</v>
      </c>
      <c r="D109" s="3">
        <v>61</v>
      </c>
      <c r="E109" s="3">
        <v>53</v>
      </c>
      <c r="F109" s="3">
        <v>8</v>
      </c>
      <c r="G109" s="3">
        <v>0</v>
      </c>
    </row>
    <row r="110" spans="1:7" x14ac:dyDescent="0.25">
      <c r="A110" t="s">
        <v>126</v>
      </c>
      <c r="B110" t="s">
        <v>177</v>
      </c>
      <c r="C110">
        <v>68</v>
      </c>
      <c r="D110">
        <v>57</v>
      </c>
      <c r="E110">
        <v>32</v>
      </c>
      <c r="F110">
        <v>25</v>
      </c>
      <c r="G110">
        <v>0</v>
      </c>
    </row>
    <row r="111" spans="1:7" x14ac:dyDescent="0.25">
      <c r="A111" s="3" t="s">
        <v>126</v>
      </c>
      <c r="B111" s="3" t="s">
        <v>177</v>
      </c>
      <c r="C111" s="3">
        <v>1</v>
      </c>
      <c r="D111" s="3">
        <v>0</v>
      </c>
      <c r="E111" s="3">
        <v>0</v>
      </c>
      <c r="F111" s="3">
        <v>0</v>
      </c>
      <c r="G111" s="3">
        <v>0</v>
      </c>
    </row>
    <row r="112" spans="1:7" x14ac:dyDescent="0.25">
      <c r="A112" t="s">
        <v>123</v>
      </c>
      <c r="B112" t="s">
        <v>4</v>
      </c>
      <c r="C112">
        <v>8</v>
      </c>
      <c r="D112">
        <v>0</v>
      </c>
      <c r="E112">
        <v>0</v>
      </c>
      <c r="F112">
        <v>0</v>
      </c>
      <c r="G112">
        <v>0</v>
      </c>
    </row>
    <row r="113" spans="1:7" x14ac:dyDescent="0.25">
      <c r="A113" t="s">
        <v>123</v>
      </c>
      <c r="B113" t="s">
        <v>5</v>
      </c>
      <c r="C113">
        <v>69</v>
      </c>
      <c r="D113">
        <v>67</v>
      </c>
      <c r="E113">
        <v>24</v>
      </c>
      <c r="F113">
        <v>43</v>
      </c>
      <c r="G113">
        <v>1</v>
      </c>
    </row>
    <row r="114" spans="1:7" x14ac:dyDescent="0.25">
      <c r="A114" s="3" t="s">
        <v>123</v>
      </c>
      <c r="B114" s="3" t="s">
        <v>5</v>
      </c>
      <c r="C114" s="3">
        <v>104</v>
      </c>
      <c r="D114" s="3">
        <v>93</v>
      </c>
      <c r="E114" s="3">
        <f>59+18</f>
        <v>77</v>
      </c>
      <c r="F114" s="3">
        <f>36-30+10</f>
        <v>16</v>
      </c>
      <c r="G114" s="3">
        <v>1</v>
      </c>
    </row>
    <row r="115" spans="1:7" x14ac:dyDescent="0.25">
      <c r="A115" t="s">
        <v>123</v>
      </c>
      <c r="B115" t="s">
        <v>185</v>
      </c>
      <c r="C115">
        <f>68+12</f>
        <v>80</v>
      </c>
      <c r="D115">
        <v>76</v>
      </c>
      <c r="E115">
        <f>17+26</f>
        <v>43</v>
      </c>
      <c r="F115">
        <f>60-52+25</f>
        <v>33</v>
      </c>
      <c r="G115">
        <v>0</v>
      </c>
    </row>
    <row r="116" spans="1:7" x14ac:dyDescent="0.25">
      <c r="A116" s="3" t="s">
        <v>123</v>
      </c>
      <c r="B116" s="3" t="s">
        <v>185</v>
      </c>
      <c r="C116" s="3">
        <v>65</v>
      </c>
      <c r="D116" s="3">
        <v>59</v>
      </c>
      <c r="E116" s="3">
        <v>28</v>
      </c>
      <c r="F116" s="3">
        <v>31</v>
      </c>
      <c r="G116" s="3">
        <v>0</v>
      </c>
    </row>
    <row r="117" spans="1:7" x14ac:dyDescent="0.25">
      <c r="A117" t="s">
        <v>123</v>
      </c>
      <c r="B117" t="s">
        <v>186</v>
      </c>
      <c r="C117">
        <v>16</v>
      </c>
      <c r="D117">
        <v>15</v>
      </c>
      <c r="E117">
        <v>0</v>
      </c>
      <c r="F117">
        <v>15</v>
      </c>
      <c r="G117">
        <v>0</v>
      </c>
    </row>
    <row r="118" spans="1:7" x14ac:dyDescent="0.25">
      <c r="A118" s="3" t="s">
        <v>123</v>
      </c>
      <c r="B118" s="3" t="s">
        <v>186</v>
      </c>
      <c r="C118" s="3">
        <v>12</v>
      </c>
      <c r="D118" s="3">
        <v>10</v>
      </c>
      <c r="E118" s="3">
        <v>0</v>
      </c>
      <c r="F118" s="3">
        <v>10</v>
      </c>
      <c r="G118" s="3">
        <v>0</v>
      </c>
    </row>
    <row r="119" spans="1:7" x14ac:dyDescent="0.25">
      <c r="A119" t="s">
        <v>123</v>
      </c>
      <c r="B119" t="s">
        <v>187</v>
      </c>
      <c r="C119">
        <v>116</v>
      </c>
      <c r="D119">
        <v>110</v>
      </c>
      <c r="E119">
        <f>43+21</f>
        <v>64</v>
      </c>
      <c r="F119">
        <f>67-34+13</f>
        <v>46</v>
      </c>
      <c r="G119">
        <v>0</v>
      </c>
    </row>
    <row r="120" spans="1:7" x14ac:dyDescent="0.25">
      <c r="A120" s="3" t="s">
        <v>123</v>
      </c>
      <c r="B120" s="3" t="s">
        <v>187</v>
      </c>
      <c r="C120" s="3">
        <v>86</v>
      </c>
      <c r="D120" s="3">
        <v>82</v>
      </c>
      <c r="E120" s="3">
        <v>55</v>
      </c>
      <c r="F120" s="3">
        <v>27</v>
      </c>
      <c r="G120" s="3">
        <v>0</v>
      </c>
    </row>
    <row r="121" spans="1:7" x14ac:dyDescent="0.25">
      <c r="A121" t="s">
        <v>123</v>
      </c>
      <c r="B121" t="s">
        <v>6</v>
      </c>
      <c r="C121">
        <v>104</v>
      </c>
      <c r="D121">
        <v>103</v>
      </c>
      <c r="E121">
        <v>100</v>
      </c>
      <c r="F121">
        <v>3</v>
      </c>
      <c r="G121">
        <v>0</v>
      </c>
    </row>
    <row r="122" spans="1:7" x14ac:dyDescent="0.25">
      <c r="A122" s="3" t="s">
        <v>123</v>
      </c>
      <c r="B122" s="3" t="s">
        <v>6</v>
      </c>
      <c r="C122" s="3">
        <v>108</v>
      </c>
      <c r="D122" s="3">
        <v>105</v>
      </c>
      <c r="E122" s="3">
        <v>105</v>
      </c>
      <c r="F122" s="3">
        <v>0</v>
      </c>
      <c r="G122" s="3">
        <v>0</v>
      </c>
    </row>
    <row r="123" spans="1:7" x14ac:dyDescent="0.25">
      <c r="A123" t="s">
        <v>123</v>
      </c>
      <c r="B123" t="s">
        <v>7</v>
      </c>
      <c r="C123">
        <v>46</v>
      </c>
      <c r="D123">
        <v>22</v>
      </c>
      <c r="E123">
        <v>20</v>
      </c>
      <c r="F123">
        <v>2</v>
      </c>
      <c r="G123">
        <v>0</v>
      </c>
    </row>
    <row r="124" spans="1:7" x14ac:dyDescent="0.25">
      <c r="A124" s="3" t="s">
        <v>123</v>
      </c>
      <c r="B124" s="3" t="s">
        <v>7</v>
      </c>
      <c r="C124" s="3">
        <v>42</v>
      </c>
      <c r="D124" s="3">
        <v>31</v>
      </c>
      <c r="E124" s="3">
        <v>27</v>
      </c>
      <c r="F124" s="3">
        <v>4</v>
      </c>
      <c r="G124" s="3">
        <v>0</v>
      </c>
    </row>
    <row r="125" spans="1:7" x14ac:dyDescent="0.25">
      <c r="A125" t="s">
        <v>123</v>
      </c>
      <c r="B125" t="s">
        <v>8</v>
      </c>
      <c r="C125">
        <v>34</v>
      </c>
      <c r="D125">
        <v>31</v>
      </c>
      <c r="E125">
        <v>16</v>
      </c>
      <c r="F125">
        <v>15</v>
      </c>
      <c r="G125">
        <v>0</v>
      </c>
    </row>
    <row r="126" spans="1:7" x14ac:dyDescent="0.25">
      <c r="A126" s="3" t="s">
        <v>123</v>
      </c>
      <c r="B126" s="3" t="s">
        <v>8</v>
      </c>
      <c r="C126" s="3">
        <v>43</v>
      </c>
      <c r="D126" s="3">
        <v>43</v>
      </c>
      <c r="E126" s="3">
        <v>20</v>
      </c>
      <c r="F126" s="3">
        <v>23</v>
      </c>
      <c r="G126" s="3">
        <v>0</v>
      </c>
    </row>
    <row r="127" spans="1:7" x14ac:dyDescent="0.25">
      <c r="A127" t="s">
        <v>123</v>
      </c>
      <c r="B127" t="s">
        <v>9</v>
      </c>
      <c r="C127">
        <v>24</v>
      </c>
      <c r="D127">
        <v>24</v>
      </c>
      <c r="E127">
        <v>17</v>
      </c>
      <c r="F127">
        <v>7</v>
      </c>
      <c r="G127">
        <v>0</v>
      </c>
    </row>
    <row r="128" spans="1:7" x14ac:dyDescent="0.25">
      <c r="A128" s="3" t="s">
        <v>123</v>
      </c>
      <c r="B128" s="3" t="s">
        <v>9</v>
      </c>
      <c r="C128" s="3">
        <v>21</v>
      </c>
      <c r="D128" s="3">
        <v>21</v>
      </c>
      <c r="E128" s="3">
        <v>13</v>
      </c>
      <c r="F128" s="3">
        <v>8</v>
      </c>
      <c r="G128" s="3">
        <v>0</v>
      </c>
    </row>
    <row r="129" spans="1:7" x14ac:dyDescent="0.25">
      <c r="A129" t="s">
        <v>123</v>
      </c>
      <c r="B129" t="s">
        <v>10</v>
      </c>
      <c r="C129">
        <v>49</v>
      </c>
      <c r="D129">
        <v>49</v>
      </c>
      <c r="E129">
        <v>36</v>
      </c>
      <c r="F129">
        <v>13</v>
      </c>
      <c r="G129">
        <v>0</v>
      </c>
    </row>
    <row r="130" spans="1:7" x14ac:dyDescent="0.25">
      <c r="A130" s="3" t="s">
        <v>123</v>
      </c>
      <c r="B130" s="3" t="s">
        <v>10</v>
      </c>
      <c r="C130" s="3">
        <v>57</v>
      </c>
      <c r="D130" s="3">
        <v>57</v>
      </c>
      <c r="E130" s="3">
        <v>37</v>
      </c>
      <c r="F130" s="3">
        <v>20</v>
      </c>
      <c r="G130" s="3">
        <v>0</v>
      </c>
    </row>
    <row r="131" spans="1:7" x14ac:dyDescent="0.25">
      <c r="A131" t="s">
        <v>123</v>
      </c>
      <c r="B131" t="s">
        <v>177</v>
      </c>
      <c r="C131">
        <v>33</v>
      </c>
      <c r="D131">
        <v>29</v>
      </c>
      <c r="E131">
        <v>27</v>
      </c>
      <c r="F131">
        <v>2</v>
      </c>
      <c r="G131">
        <v>0</v>
      </c>
    </row>
    <row r="132" spans="1:7" x14ac:dyDescent="0.25">
      <c r="A132" s="3" t="s">
        <v>123</v>
      </c>
      <c r="B132" s="3" t="s">
        <v>177</v>
      </c>
      <c r="C132" s="3">
        <v>25</v>
      </c>
      <c r="D132" s="3">
        <v>19</v>
      </c>
      <c r="E132" s="3">
        <v>18</v>
      </c>
      <c r="F132" s="3">
        <v>1</v>
      </c>
      <c r="G132" s="3">
        <v>0</v>
      </c>
    </row>
    <row r="133" spans="1:7" x14ac:dyDescent="0.25">
      <c r="A133" t="s">
        <v>31</v>
      </c>
      <c r="B133" t="s">
        <v>2</v>
      </c>
      <c r="C133">
        <v>5</v>
      </c>
      <c r="D133">
        <v>4</v>
      </c>
      <c r="E133">
        <v>4</v>
      </c>
      <c r="F133">
        <v>0</v>
      </c>
      <c r="G133">
        <v>0</v>
      </c>
    </row>
    <row r="134" spans="1:7" x14ac:dyDescent="0.25">
      <c r="A134" t="s">
        <v>31</v>
      </c>
      <c r="B134" t="s">
        <v>4</v>
      </c>
      <c r="C134">
        <v>1</v>
      </c>
      <c r="D134">
        <v>0</v>
      </c>
      <c r="E134">
        <v>0</v>
      </c>
      <c r="F134">
        <v>0</v>
      </c>
      <c r="G134">
        <v>0</v>
      </c>
    </row>
    <row r="135" spans="1:7" x14ac:dyDescent="0.25">
      <c r="A135" t="s">
        <v>31</v>
      </c>
      <c r="B135" t="s">
        <v>5</v>
      </c>
      <c r="C135">
        <v>64</v>
      </c>
      <c r="D135">
        <v>64</v>
      </c>
      <c r="E135">
        <f>42+15</f>
        <v>57</v>
      </c>
      <c r="F135">
        <f>22-15+0</f>
        <v>7</v>
      </c>
      <c r="G135">
        <v>0</v>
      </c>
    </row>
    <row r="136" spans="1:7" x14ac:dyDescent="0.25">
      <c r="A136" s="3" t="s">
        <v>31</v>
      </c>
      <c r="B136" s="3" t="s">
        <v>5</v>
      </c>
      <c r="C136" s="3">
        <v>32</v>
      </c>
      <c r="D136" s="3">
        <v>32</v>
      </c>
      <c r="E136" s="3">
        <v>27</v>
      </c>
      <c r="F136" s="3">
        <v>5</v>
      </c>
      <c r="G136" s="3">
        <v>0</v>
      </c>
    </row>
    <row r="137" spans="1:7" x14ac:dyDescent="0.25">
      <c r="A137" t="s">
        <v>31</v>
      </c>
      <c r="B137" t="s">
        <v>185</v>
      </c>
      <c r="C137">
        <f>66+34</f>
        <v>100</v>
      </c>
      <c r="D137">
        <f>64+31</f>
        <v>95</v>
      </c>
      <c r="E137">
        <f>46+26</f>
        <v>72</v>
      </c>
      <c r="F137">
        <f>18+5</f>
        <v>23</v>
      </c>
      <c r="G137">
        <v>0</v>
      </c>
    </row>
    <row r="138" spans="1:7" x14ac:dyDescent="0.25">
      <c r="A138" s="3" t="s">
        <v>31</v>
      </c>
      <c r="B138" s="3" t="s">
        <v>185</v>
      </c>
      <c r="C138" s="3">
        <v>104</v>
      </c>
      <c r="D138" s="3">
        <v>102</v>
      </c>
      <c r="E138" s="3">
        <f>82+14</f>
        <v>96</v>
      </c>
      <c r="F138" s="3">
        <f>20-15+1</f>
        <v>6</v>
      </c>
      <c r="G138" s="3">
        <v>1</v>
      </c>
    </row>
    <row r="139" spans="1:7" x14ac:dyDescent="0.25">
      <c r="A139" t="s">
        <v>31</v>
      </c>
      <c r="B139" t="s">
        <v>186</v>
      </c>
      <c r="C139">
        <f>113+12</f>
        <v>125</v>
      </c>
      <c r="D139">
        <f>109+12</f>
        <v>121</v>
      </c>
      <c r="E139">
        <f>72+31</f>
        <v>103</v>
      </c>
      <c r="F139">
        <f>49-35+4</f>
        <v>18</v>
      </c>
      <c r="G139">
        <v>1</v>
      </c>
    </row>
    <row r="140" spans="1:7" x14ac:dyDescent="0.25">
      <c r="A140" s="3" t="s">
        <v>31</v>
      </c>
      <c r="B140" s="3" t="s">
        <v>186</v>
      </c>
      <c r="C140" s="3">
        <v>103</v>
      </c>
      <c r="D140" s="3">
        <v>101</v>
      </c>
      <c r="E140" s="3">
        <v>81</v>
      </c>
      <c r="F140" s="3">
        <v>20</v>
      </c>
      <c r="G140" s="3">
        <v>0</v>
      </c>
    </row>
    <row r="141" spans="1:7" x14ac:dyDescent="0.25">
      <c r="A141" t="s">
        <v>31</v>
      </c>
      <c r="B141" t="s">
        <v>189</v>
      </c>
      <c r="C141">
        <v>1</v>
      </c>
      <c r="D141">
        <v>1</v>
      </c>
      <c r="E141">
        <v>1</v>
      </c>
      <c r="F141">
        <v>0</v>
      </c>
      <c r="G141">
        <v>0</v>
      </c>
    </row>
    <row r="142" spans="1:7" x14ac:dyDescent="0.25">
      <c r="A142" t="s">
        <v>31</v>
      </c>
      <c r="B142" t="s">
        <v>187</v>
      </c>
      <c r="C142">
        <f>73+1</f>
        <v>74</v>
      </c>
      <c r="D142">
        <f>73+1</f>
        <v>74</v>
      </c>
      <c r="E142">
        <f>35+15</f>
        <v>50</v>
      </c>
      <c r="F142">
        <f>39-16+1</f>
        <v>24</v>
      </c>
      <c r="G142">
        <v>0</v>
      </c>
    </row>
    <row r="143" spans="1:7" x14ac:dyDescent="0.25">
      <c r="A143" s="3" t="s">
        <v>31</v>
      </c>
      <c r="B143" s="3" t="s">
        <v>187</v>
      </c>
      <c r="C143" s="3">
        <v>30</v>
      </c>
      <c r="D143" s="3">
        <v>29</v>
      </c>
      <c r="E143" s="3">
        <v>21</v>
      </c>
      <c r="F143" s="3">
        <v>8</v>
      </c>
      <c r="G143" s="3">
        <v>0</v>
      </c>
    </row>
    <row r="144" spans="1:7" x14ac:dyDescent="0.25">
      <c r="A144" t="s">
        <v>31</v>
      </c>
      <c r="B144" t="s">
        <v>6</v>
      </c>
      <c r="C144">
        <v>163</v>
      </c>
      <c r="D144">
        <v>163</v>
      </c>
      <c r="E144">
        <v>163</v>
      </c>
      <c r="F144">
        <v>0</v>
      </c>
      <c r="G144">
        <v>0</v>
      </c>
    </row>
    <row r="145" spans="1:7" x14ac:dyDescent="0.25">
      <c r="A145" s="3" t="s">
        <v>31</v>
      </c>
      <c r="B145" s="3" t="s">
        <v>6</v>
      </c>
      <c r="C145" s="3">
        <v>63</v>
      </c>
      <c r="D145" s="3">
        <v>59</v>
      </c>
      <c r="E145" s="3">
        <v>59</v>
      </c>
      <c r="F145" s="3">
        <v>0</v>
      </c>
      <c r="G145" s="3">
        <v>0</v>
      </c>
    </row>
    <row r="146" spans="1:7" x14ac:dyDescent="0.25">
      <c r="A146" t="s">
        <v>31</v>
      </c>
      <c r="B146" t="s">
        <v>8</v>
      </c>
      <c r="C146">
        <v>40</v>
      </c>
      <c r="D146">
        <v>40</v>
      </c>
      <c r="E146">
        <v>36</v>
      </c>
      <c r="F146">
        <v>4</v>
      </c>
      <c r="G146">
        <v>0</v>
      </c>
    </row>
    <row r="147" spans="1:7" x14ac:dyDescent="0.25">
      <c r="A147" s="3" t="s">
        <v>31</v>
      </c>
      <c r="B147" s="3" t="s">
        <v>8</v>
      </c>
      <c r="C147" s="3">
        <v>20</v>
      </c>
      <c r="D147" s="3">
        <v>20</v>
      </c>
      <c r="E147" s="3">
        <v>15</v>
      </c>
      <c r="F147" s="3">
        <v>5</v>
      </c>
      <c r="G147" s="3">
        <v>0</v>
      </c>
    </row>
    <row r="148" spans="1:7" x14ac:dyDescent="0.25">
      <c r="A148" t="s">
        <v>31</v>
      </c>
      <c r="B148" t="s">
        <v>9</v>
      </c>
      <c r="C148">
        <v>40</v>
      </c>
      <c r="D148">
        <v>40</v>
      </c>
      <c r="E148">
        <v>37</v>
      </c>
      <c r="F148">
        <v>3</v>
      </c>
      <c r="G148">
        <v>0</v>
      </c>
    </row>
    <row r="149" spans="1:7" x14ac:dyDescent="0.25">
      <c r="A149" s="3" t="s">
        <v>31</v>
      </c>
      <c r="B149" s="3" t="s">
        <v>9</v>
      </c>
      <c r="C149" s="3">
        <v>6</v>
      </c>
      <c r="D149" s="3">
        <v>6</v>
      </c>
      <c r="E149" s="3">
        <v>6</v>
      </c>
      <c r="F149" s="3">
        <v>0</v>
      </c>
      <c r="G149" s="3">
        <v>0</v>
      </c>
    </row>
    <row r="150" spans="1:7" x14ac:dyDescent="0.25">
      <c r="A150" t="s">
        <v>31</v>
      </c>
      <c r="B150" t="s">
        <v>10</v>
      </c>
      <c r="C150">
        <v>81</v>
      </c>
      <c r="D150">
        <v>81</v>
      </c>
      <c r="E150">
        <v>68</v>
      </c>
      <c r="F150">
        <v>13</v>
      </c>
      <c r="G150">
        <v>0</v>
      </c>
    </row>
    <row r="151" spans="1:7" x14ac:dyDescent="0.25">
      <c r="A151" s="3" t="s">
        <v>31</v>
      </c>
      <c r="B151" s="3" t="s">
        <v>10</v>
      </c>
      <c r="C151" s="3">
        <v>60</v>
      </c>
      <c r="D151" s="3">
        <v>60</v>
      </c>
      <c r="E151" s="3">
        <v>54</v>
      </c>
      <c r="F151" s="3">
        <v>6</v>
      </c>
      <c r="G151" s="3">
        <v>0</v>
      </c>
    </row>
    <row r="152" spans="1:7" x14ac:dyDescent="0.25">
      <c r="A152" t="s">
        <v>31</v>
      </c>
      <c r="B152" t="s">
        <v>177</v>
      </c>
      <c r="C152">
        <v>50</v>
      </c>
      <c r="D152">
        <v>44</v>
      </c>
      <c r="E152">
        <v>43</v>
      </c>
      <c r="F152">
        <v>1</v>
      </c>
      <c r="G152">
        <v>0</v>
      </c>
    </row>
    <row r="153" spans="1:7" x14ac:dyDescent="0.25">
      <c r="A153" s="3" t="s">
        <v>31</v>
      </c>
      <c r="B153" s="3" t="s">
        <v>177</v>
      </c>
      <c r="C153" s="3">
        <v>5</v>
      </c>
      <c r="D153" s="3">
        <v>0</v>
      </c>
      <c r="E153" s="3">
        <v>0</v>
      </c>
      <c r="F153" s="3">
        <v>0</v>
      </c>
      <c r="G153" s="3">
        <v>0</v>
      </c>
    </row>
    <row r="154" spans="1:7" x14ac:dyDescent="0.25">
      <c r="A154" t="s">
        <v>149</v>
      </c>
      <c r="B154" t="s">
        <v>2</v>
      </c>
      <c r="C154">
        <v>5</v>
      </c>
      <c r="D154">
        <v>3</v>
      </c>
      <c r="E154">
        <v>1</v>
      </c>
      <c r="F154">
        <v>2</v>
      </c>
      <c r="G154">
        <v>0</v>
      </c>
    </row>
    <row r="155" spans="1:7" x14ac:dyDescent="0.25">
      <c r="A155" s="3" t="s">
        <v>149</v>
      </c>
      <c r="B155" s="3" t="s">
        <v>2</v>
      </c>
      <c r="C155" s="3">
        <v>2</v>
      </c>
      <c r="D155" s="3">
        <v>2</v>
      </c>
      <c r="E155" s="3">
        <v>2</v>
      </c>
      <c r="F155" s="3">
        <v>0</v>
      </c>
      <c r="G155" s="3">
        <v>0</v>
      </c>
    </row>
    <row r="156" spans="1:7" x14ac:dyDescent="0.25">
      <c r="A156" t="s">
        <v>149</v>
      </c>
      <c r="B156" t="s">
        <v>4</v>
      </c>
      <c r="C156">
        <v>5</v>
      </c>
      <c r="D156">
        <v>0</v>
      </c>
      <c r="E156">
        <v>0</v>
      </c>
      <c r="F156">
        <v>0</v>
      </c>
      <c r="G156">
        <v>0</v>
      </c>
    </row>
    <row r="157" spans="1:7" x14ac:dyDescent="0.25">
      <c r="A157" s="3" t="s">
        <v>149</v>
      </c>
      <c r="B157" s="3" t="s">
        <v>4</v>
      </c>
      <c r="C157" s="3">
        <v>1</v>
      </c>
      <c r="D157" s="3">
        <v>0</v>
      </c>
      <c r="E157" s="3">
        <v>0</v>
      </c>
      <c r="F157" s="3">
        <v>0</v>
      </c>
      <c r="G157" s="3">
        <v>0</v>
      </c>
    </row>
    <row r="158" spans="1:7" x14ac:dyDescent="0.25">
      <c r="A158" t="s">
        <v>149</v>
      </c>
      <c r="B158" t="s">
        <v>5</v>
      </c>
      <c r="C158">
        <v>39</v>
      </c>
      <c r="D158">
        <v>38</v>
      </c>
      <c r="E158">
        <v>29</v>
      </c>
      <c r="F158">
        <v>9</v>
      </c>
      <c r="G158">
        <v>1</v>
      </c>
    </row>
    <row r="159" spans="1:7" x14ac:dyDescent="0.25">
      <c r="A159" s="3" t="s">
        <v>149</v>
      </c>
      <c r="B159" s="3" t="s">
        <v>5</v>
      </c>
      <c r="C159" s="3">
        <v>39</v>
      </c>
      <c r="D159" s="3">
        <v>37</v>
      </c>
      <c r="E159" s="3">
        <f>22+4</f>
        <v>26</v>
      </c>
      <c r="F159" s="3">
        <f>15-5+1</f>
        <v>11</v>
      </c>
      <c r="G159" s="3">
        <v>0</v>
      </c>
    </row>
    <row r="160" spans="1:7" x14ac:dyDescent="0.25">
      <c r="A160" t="s">
        <v>149</v>
      </c>
      <c r="B160" t="s">
        <v>185</v>
      </c>
      <c r="C160">
        <f>69+14</f>
        <v>83</v>
      </c>
      <c r="D160">
        <v>78</v>
      </c>
      <c r="E160">
        <f>60+4</f>
        <v>64</v>
      </c>
      <c r="F160">
        <f>19-8+3</f>
        <v>14</v>
      </c>
      <c r="G160">
        <v>0</v>
      </c>
    </row>
    <row r="161" spans="1:7" x14ac:dyDescent="0.25">
      <c r="A161" s="3" t="s">
        <v>149</v>
      </c>
      <c r="B161" s="3" t="s">
        <v>185</v>
      </c>
      <c r="C161" s="3">
        <v>36</v>
      </c>
      <c r="D161" s="3">
        <v>36</v>
      </c>
      <c r="E161" s="3">
        <v>31</v>
      </c>
      <c r="F161" s="3">
        <v>5</v>
      </c>
      <c r="G161" s="3">
        <v>0</v>
      </c>
    </row>
    <row r="162" spans="1:7" x14ac:dyDescent="0.25">
      <c r="A162" t="s">
        <v>149</v>
      </c>
      <c r="B162" t="s">
        <v>186</v>
      </c>
      <c r="C162">
        <f>115+8</f>
        <v>123</v>
      </c>
      <c r="D162">
        <f>109+8</f>
        <v>117</v>
      </c>
      <c r="E162">
        <f>72+8</f>
        <v>80</v>
      </c>
      <c r="F162">
        <v>37</v>
      </c>
      <c r="G162">
        <v>0</v>
      </c>
    </row>
    <row r="163" spans="1:7" x14ac:dyDescent="0.25">
      <c r="A163" s="3" t="s">
        <v>149</v>
      </c>
      <c r="B163" s="3" t="s">
        <v>186</v>
      </c>
      <c r="C163" s="3">
        <v>92</v>
      </c>
      <c r="D163" s="3">
        <v>85</v>
      </c>
      <c r="E163" s="3">
        <f>59+22</f>
        <v>81</v>
      </c>
      <c r="F163" s="3">
        <f>31-29+2</f>
        <v>4</v>
      </c>
      <c r="G163" s="3">
        <v>0</v>
      </c>
    </row>
    <row r="164" spans="1:7" x14ac:dyDescent="0.25">
      <c r="A164" t="s">
        <v>149</v>
      </c>
      <c r="B164" t="s">
        <v>187</v>
      </c>
      <c r="C164">
        <f>126+8</f>
        <v>134</v>
      </c>
      <c r="D164">
        <f>124+8</f>
        <v>132</v>
      </c>
      <c r="E164">
        <f>84+4</f>
        <v>88</v>
      </c>
      <c r="F164">
        <f>40+4</f>
        <v>44</v>
      </c>
      <c r="G164">
        <v>0</v>
      </c>
    </row>
    <row r="165" spans="1:7" x14ac:dyDescent="0.25">
      <c r="A165" s="3" t="s">
        <v>149</v>
      </c>
      <c r="B165" s="3" t="s">
        <v>187</v>
      </c>
      <c r="C165" s="3">
        <v>76</v>
      </c>
      <c r="D165" s="3">
        <v>73</v>
      </c>
      <c r="E165" s="3">
        <f>40+10</f>
        <v>50</v>
      </c>
      <c r="F165" s="3">
        <f>33-11+1</f>
        <v>23</v>
      </c>
      <c r="G165" s="3">
        <v>0</v>
      </c>
    </row>
    <row r="166" spans="1:7" x14ac:dyDescent="0.25">
      <c r="A166" t="s">
        <v>149</v>
      </c>
      <c r="B166" t="s">
        <v>6</v>
      </c>
      <c r="C166">
        <v>162</v>
      </c>
      <c r="D166">
        <v>162</v>
      </c>
      <c r="E166">
        <v>157</v>
      </c>
      <c r="F166">
        <v>5</v>
      </c>
      <c r="G166">
        <v>0</v>
      </c>
    </row>
    <row r="167" spans="1:7" x14ac:dyDescent="0.25">
      <c r="A167" s="3" t="s">
        <v>149</v>
      </c>
      <c r="B167" s="3" t="s">
        <v>6</v>
      </c>
      <c r="C167" s="3">
        <v>67</v>
      </c>
      <c r="D167" s="3">
        <v>65</v>
      </c>
      <c r="E167" s="3">
        <v>64</v>
      </c>
      <c r="F167" s="3">
        <v>1</v>
      </c>
      <c r="G167" s="3">
        <v>0</v>
      </c>
    </row>
    <row r="168" spans="1:7" x14ac:dyDescent="0.25">
      <c r="A168" t="s">
        <v>149</v>
      </c>
      <c r="B168" t="s">
        <v>7</v>
      </c>
      <c r="C168">
        <v>32</v>
      </c>
      <c r="D168">
        <v>29</v>
      </c>
      <c r="E168">
        <v>22</v>
      </c>
      <c r="F168">
        <v>7</v>
      </c>
      <c r="G168">
        <v>1</v>
      </c>
    </row>
    <row r="169" spans="1:7" x14ac:dyDescent="0.25">
      <c r="A169" s="3" t="s">
        <v>149</v>
      </c>
      <c r="B169" s="3" t="s">
        <v>7</v>
      </c>
      <c r="C169" s="3">
        <v>21</v>
      </c>
      <c r="D169" s="3">
        <v>20</v>
      </c>
      <c r="E169" s="3">
        <v>12</v>
      </c>
      <c r="F169" s="3">
        <v>8</v>
      </c>
      <c r="G169" s="3">
        <v>1</v>
      </c>
    </row>
    <row r="170" spans="1:7" x14ac:dyDescent="0.25">
      <c r="A170" t="s">
        <v>149</v>
      </c>
      <c r="B170" t="s">
        <v>8</v>
      </c>
      <c r="C170">
        <v>64</v>
      </c>
      <c r="D170">
        <v>63</v>
      </c>
      <c r="E170">
        <v>54</v>
      </c>
      <c r="F170">
        <v>9</v>
      </c>
      <c r="G170">
        <v>0</v>
      </c>
    </row>
    <row r="171" spans="1:7" x14ac:dyDescent="0.25">
      <c r="A171" s="3" t="s">
        <v>149</v>
      </c>
      <c r="B171" s="3" t="s">
        <v>8</v>
      </c>
      <c r="C171" s="3">
        <v>15</v>
      </c>
      <c r="D171" s="3">
        <v>15</v>
      </c>
      <c r="E171" s="3">
        <v>12</v>
      </c>
      <c r="F171" s="3">
        <v>3</v>
      </c>
      <c r="G171" s="3">
        <v>0</v>
      </c>
    </row>
    <row r="172" spans="1:7" x14ac:dyDescent="0.25">
      <c r="A172" t="s">
        <v>149</v>
      </c>
      <c r="B172" t="s">
        <v>9</v>
      </c>
      <c r="C172">
        <v>37</v>
      </c>
      <c r="D172">
        <v>37</v>
      </c>
      <c r="E172">
        <v>34</v>
      </c>
      <c r="F172">
        <v>3</v>
      </c>
      <c r="G172">
        <v>0</v>
      </c>
    </row>
    <row r="173" spans="1:7" x14ac:dyDescent="0.25">
      <c r="A173" s="3" t="s">
        <v>149</v>
      </c>
      <c r="B173" s="3" t="s">
        <v>9</v>
      </c>
      <c r="C173" s="3">
        <v>12</v>
      </c>
      <c r="D173" s="3">
        <v>12</v>
      </c>
      <c r="E173" s="3">
        <v>8</v>
      </c>
      <c r="F173" s="3">
        <v>4</v>
      </c>
      <c r="G173" s="3">
        <v>0</v>
      </c>
    </row>
    <row r="174" spans="1:7" x14ac:dyDescent="0.25">
      <c r="A174" t="s">
        <v>149</v>
      </c>
      <c r="B174" t="s">
        <v>10</v>
      </c>
      <c r="C174">
        <v>114</v>
      </c>
      <c r="D174">
        <v>113</v>
      </c>
      <c r="E174">
        <v>88</v>
      </c>
      <c r="F174">
        <v>25</v>
      </c>
      <c r="G174">
        <v>0</v>
      </c>
    </row>
    <row r="175" spans="1:7" x14ac:dyDescent="0.25">
      <c r="A175" s="3" t="s">
        <v>149</v>
      </c>
      <c r="B175" s="3" t="s">
        <v>10</v>
      </c>
      <c r="C175" s="3">
        <v>55</v>
      </c>
      <c r="D175" s="3">
        <v>55</v>
      </c>
      <c r="E175" s="3">
        <v>39</v>
      </c>
      <c r="F175" s="3">
        <v>16</v>
      </c>
      <c r="G175" s="3">
        <v>0</v>
      </c>
    </row>
    <row r="176" spans="1:7" x14ac:dyDescent="0.25">
      <c r="A176" t="s">
        <v>149</v>
      </c>
      <c r="B176" t="s">
        <v>177</v>
      </c>
      <c r="C176">
        <v>35</v>
      </c>
      <c r="D176">
        <v>32</v>
      </c>
      <c r="E176">
        <v>26</v>
      </c>
      <c r="F176">
        <v>6</v>
      </c>
      <c r="G176">
        <v>0</v>
      </c>
    </row>
    <row r="177" spans="1:7" x14ac:dyDescent="0.25">
      <c r="A177" s="3" t="s">
        <v>149</v>
      </c>
      <c r="B177" s="3" t="s">
        <v>177</v>
      </c>
      <c r="C177" s="3">
        <v>15</v>
      </c>
      <c r="D177" s="3">
        <v>15</v>
      </c>
      <c r="E177" s="3">
        <v>14</v>
      </c>
      <c r="F177" s="3">
        <v>1</v>
      </c>
      <c r="G177" s="3">
        <v>0</v>
      </c>
    </row>
    <row r="178" spans="1:7" x14ac:dyDescent="0.25">
      <c r="A178" t="s">
        <v>168</v>
      </c>
      <c r="B178" t="s">
        <v>2</v>
      </c>
      <c r="C178">
        <v>2</v>
      </c>
      <c r="D178">
        <v>2</v>
      </c>
      <c r="E178">
        <v>2</v>
      </c>
      <c r="F178">
        <v>0</v>
      </c>
      <c r="G178">
        <v>0</v>
      </c>
    </row>
    <row r="179" spans="1:7" x14ac:dyDescent="0.25">
      <c r="A179" s="3" t="s">
        <v>168</v>
      </c>
      <c r="B179" s="3" t="s">
        <v>2</v>
      </c>
      <c r="C179" s="3">
        <v>2</v>
      </c>
      <c r="D179" s="3">
        <v>2</v>
      </c>
      <c r="E179" s="3">
        <v>1</v>
      </c>
      <c r="F179" s="3">
        <v>1</v>
      </c>
      <c r="G179" s="3">
        <v>0</v>
      </c>
    </row>
    <row r="180" spans="1:7" x14ac:dyDescent="0.25">
      <c r="A180" t="s">
        <v>168</v>
      </c>
      <c r="B180" t="s">
        <v>4</v>
      </c>
      <c r="C180">
        <v>2</v>
      </c>
      <c r="D180">
        <v>0</v>
      </c>
      <c r="E180">
        <v>0</v>
      </c>
      <c r="F180">
        <v>0</v>
      </c>
      <c r="G180">
        <v>0</v>
      </c>
    </row>
    <row r="181" spans="1:7" x14ac:dyDescent="0.25">
      <c r="A181" t="s">
        <v>168</v>
      </c>
      <c r="B181" t="s">
        <v>5</v>
      </c>
      <c r="C181">
        <v>7</v>
      </c>
      <c r="D181">
        <v>7</v>
      </c>
      <c r="E181">
        <v>3</v>
      </c>
      <c r="F181">
        <v>4</v>
      </c>
      <c r="G181">
        <v>0</v>
      </c>
    </row>
    <row r="182" spans="1:7" x14ac:dyDescent="0.25">
      <c r="A182" s="3" t="s">
        <v>168</v>
      </c>
      <c r="B182" s="3" t="s">
        <v>5</v>
      </c>
      <c r="C182" s="3">
        <v>9</v>
      </c>
      <c r="D182" s="3">
        <v>9</v>
      </c>
      <c r="E182" s="3">
        <f>4+3</f>
        <v>7</v>
      </c>
      <c r="F182" s="3">
        <f>5-3+0</f>
        <v>2</v>
      </c>
      <c r="G182" s="3">
        <v>0</v>
      </c>
    </row>
    <row r="183" spans="1:7" x14ac:dyDescent="0.25">
      <c r="A183" t="s">
        <v>168</v>
      </c>
      <c r="B183" t="s">
        <v>185</v>
      </c>
      <c r="C183">
        <f>4+1</f>
        <v>5</v>
      </c>
      <c r="D183">
        <f>4+1</f>
        <v>5</v>
      </c>
      <c r="E183">
        <f>1+1</f>
        <v>2</v>
      </c>
      <c r="F183">
        <v>3</v>
      </c>
      <c r="G183">
        <v>0</v>
      </c>
    </row>
    <row r="184" spans="1:7" x14ac:dyDescent="0.25">
      <c r="A184" s="3" t="s">
        <v>168</v>
      </c>
      <c r="B184" s="3" t="s">
        <v>185</v>
      </c>
      <c r="C184" s="3">
        <v>11</v>
      </c>
      <c r="D184" s="3">
        <v>11</v>
      </c>
      <c r="E184" s="3">
        <f>6+1</f>
        <v>7</v>
      </c>
      <c r="F184" s="3">
        <f>5-2+1</f>
        <v>4</v>
      </c>
      <c r="G184" s="3">
        <v>0</v>
      </c>
    </row>
    <row r="185" spans="1:7" x14ac:dyDescent="0.25">
      <c r="A185" t="s">
        <v>168</v>
      </c>
      <c r="B185" t="s">
        <v>186</v>
      </c>
      <c r="C185">
        <v>3</v>
      </c>
      <c r="D185">
        <v>3</v>
      </c>
      <c r="E185">
        <v>0</v>
      </c>
      <c r="F185">
        <v>3</v>
      </c>
      <c r="G185">
        <v>0</v>
      </c>
    </row>
    <row r="186" spans="1:7" x14ac:dyDescent="0.25">
      <c r="A186" s="3" t="s">
        <v>168</v>
      </c>
      <c r="B186" s="3" t="s">
        <v>186</v>
      </c>
      <c r="C186" s="3">
        <v>5</v>
      </c>
      <c r="D186" s="3">
        <v>5</v>
      </c>
      <c r="E186" s="3">
        <v>0</v>
      </c>
      <c r="F186" s="3">
        <v>5</v>
      </c>
      <c r="G186" s="3">
        <v>0</v>
      </c>
    </row>
    <row r="187" spans="1:7" x14ac:dyDescent="0.25">
      <c r="A187" t="s">
        <v>168</v>
      </c>
      <c r="B187" t="s">
        <v>187</v>
      </c>
      <c r="C187">
        <f>78+1</f>
        <v>79</v>
      </c>
      <c r="D187">
        <f>78+1</f>
        <v>79</v>
      </c>
      <c r="E187">
        <v>21</v>
      </c>
      <c r="F187">
        <f>57+1</f>
        <v>58</v>
      </c>
      <c r="G187">
        <v>0</v>
      </c>
    </row>
    <row r="188" spans="1:7" x14ac:dyDescent="0.25">
      <c r="A188" s="3" t="s">
        <v>168</v>
      </c>
      <c r="B188" s="3" t="s">
        <v>187</v>
      </c>
      <c r="C188" s="3">
        <v>67</v>
      </c>
      <c r="D188" s="3">
        <v>65</v>
      </c>
      <c r="E188" s="3">
        <f>30+20</f>
        <v>50</v>
      </c>
      <c r="F188" s="3">
        <f>35-29+9</f>
        <v>15</v>
      </c>
      <c r="G188" s="3">
        <v>1</v>
      </c>
    </row>
    <row r="189" spans="1:7" x14ac:dyDescent="0.25">
      <c r="A189" t="s">
        <v>168</v>
      </c>
      <c r="B189" t="s">
        <v>6</v>
      </c>
      <c r="C189">
        <v>21</v>
      </c>
      <c r="D189">
        <v>21</v>
      </c>
      <c r="E189">
        <v>20</v>
      </c>
      <c r="F189">
        <v>1</v>
      </c>
      <c r="G189">
        <v>0</v>
      </c>
    </row>
    <row r="190" spans="1:7" x14ac:dyDescent="0.25">
      <c r="A190" s="3" t="s">
        <v>168</v>
      </c>
      <c r="B190" s="3" t="s">
        <v>6</v>
      </c>
      <c r="C190" s="3">
        <v>18</v>
      </c>
      <c r="D190" s="3">
        <v>18</v>
      </c>
      <c r="E190" s="3">
        <v>18</v>
      </c>
      <c r="F190" s="3">
        <v>0</v>
      </c>
      <c r="G190" s="3">
        <v>0</v>
      </c>
    </row>
    <row r="191" spans="1:7" x14ac:dyDescent="0.25">
      <c r="A191" t="s">
        <v>168</v>
      </c>
      <c r="B191" t="s">
        <v>7</v>
      </c>
      <c r="C191">
        <v>3</v>
      </c>
      <c r="D191">
        <v>3</v>
      </c>
      <c r="E191">
        <v>3</v>
      </c>
      <c r="F191">
        <v>0</v>
      </c>
      <c r="G191">
        <v>0</v>
      </c>
    </row>
    <row r="192" spans="1:7" x14ac:dyDescent="0.25">
      <c r="A192" s="3" t="s">
        <v>168</v>
      </c>
      <c r="B192" s="3" t="s">
        <v>7</v>
      </c>
      <c r="C192" s="3">
        <v>3</v>
      </c>
      <c r="D192" s="3">
        <v>3</v>
      </c>
      <c r="E192" s="3">
        <v>0</v>
      </c>
      <c r="F192" s="3">
        <v>3</v>
      </c>
      <c r="G192" s="3">
        <v>0</v>
      </c>
    </row>
    <row r="193" spans="1:7" x14ac:dyDescent="0.25">
      <c r="A193" t="s">
        <v>168</v>
      </c>
      <c r="B193" t="s">
        <v>8</v>
      </c>
      <c r="C193">
        <v>4</v>
      </c>
      <c r="D193">
        <v>4</v>
      </c>
      <c r="E193">
        <v>1</v>
      </c>
      <c r="F193">
        <v>3</v>
      </c>
      <c r="G193">
        <v>0</v>
      </c>
    </row>
    <row r="194" spans="1:7" x14ac:dyDescent="0.25">
      <c r="A194" s="3" t="s">
        <v>168</v>
      </c>
      <c r="B194" s="3" t="s">
        <v>8</v>
      </c>
      <c r="C194" s="3">
        <v>1</v>
      </c>
      <c r="D194" s="3">
        <v>1</v>
      </c>
      <c r="E194" s="3">
        <v>0</v>
      </c>
      <c r="F194" s="3">
        <v>1</v>
      </c>
      <c r="G194" s="3">
        <v>0</v>
      </c>
    </row>
    <row r="195" spans="1:7" x14ac:dyDescent="0.25">
      <c r="A195" t="s">
        <v>168</v>
      </c>
      <c r="B195" t="s">
        <v>9</v>
      </c>
      <c r="C195">
        <v>1</v>
      </c>
      <c r="D195">
        <v>1</v>
      </c>
      <c r="E195">
        <v>1</v>
      </c>
      <c r="F195">
        <v>0</v>
      </c>
      <c r="G195">
        <v>0</v>
      </c>
    </row>
    <row r="196" spans="1:7" x14ac:dyDescent="0.25">
      <c r="A196" s="3" t="s">
        <v>168</v>
      </c>
      <c r="B196" s="3" t="s">
        <v>9</v>
      </c>
      <c r="C196" s="3">
        <v>1</v>
      </c>
      <c r="D196" s="3">
        <v>1</v>
      </c>
      <c r="E196" s="3">
        <v>0</v>
      </c>
      <c r="F196" s="3">
        <v>1</v>
      </c>
      <c r="G196" s="3">
        <v>0</v>
      </c>
    </row>
    <row r="197" spans="1:7" x14ac:dyDescent="0.25">
      <c r="A197" t="s">
        <v>168</v>
      </c>
      <c r="B197" t="s">
        <v>10</v>
      </c>
      <c r="C197">
        <v>28</v>
      </c>
      <c r="D197">
        <v>28</v>
      </c>
      <c r="E197">
        <v>22</v>
      </c>
      <c r="F197">
        <v>6</v>
      </c>
      <c r="G197">
        <v>0</v>
      </c>
    </row>
    <row r="198" spans="1:7" x14ac:dyDescent="0.25">
      <c r="A198" s="3" t="s">
        <v>168</v>
      </c>
      <c r="B198" s="3" t="s">
        <v>10</v>
      </c>
      <c r="C198" s="3">
        <v>25</v>
      </c>
      <c r="D198" s="3">
        <v>25</v>
      </c>
      <c r="E198" s="3">
        <v>16</v>
      </c>
      <c r="F198" s="3">
        <v>9</v>
      </c>
      <c r="G198" s="3">
        <v>0</v>
      </c>
    </row>
    <row r="199" spans="1:7" x14ac:dyDescent="0.25">
      <c r="A199" t="s">
        <v>168</v>
      </c>
      <c r="B199" t="s">
        <v>177</v>
      </c>
      <c r="C199">
        <v>6</v>
      </c>
      <c r="D199">
        <v>6</v>
      </c>
      <c r="E199">
        <v>6</v>
      </c>
      <c r="F199">
        <v>0</v>
      </c>
      <c r="G199">
        <v>0</v>
      </c>
    </row>
    <row r="200" spans="1:7" x14ac:dyDescent="0.25">
      <c r="A200" s="3" t="s">
        <v>168</v>
      </c>
      <c r="B200" s="3" t="s">
        <v>177</v>
      </c>
      <c r="C200" s="3">
        <v>3</v>
      </c>
      <c r="D200" s="3">
        <v>3</v>
      </c>
      <c r="E200" s="3">
        <v>3</v>
      </c>
      <c r="F200" s="3">
        <v>0</v>
      </c>
      <c r="G200" s="3">
        <v>0</v>
      </c>
    </row>
    <row r="201" spans="1:7" x14ac:dyDescent="0.25">
      <c r="A201" t="s">
        <v>32</v>
      </c>
      <c r="B201" t="s">
        <v>2</v>
      </c>
      <c r="C201">
        <v>4</v>
      </c>
      <c r="D201">
        <v>4</v>
      </c>
      <c r="E201">
        <v>4</v>
      </c>
      <c r="F201">
        <v>0</v>
      </c>
      <c r="G201">
        <v>0</v>
      </c>
    </row>
    <row r="202" spans="1:7" x14ac:dyDescent="0.25">
      <c r="A202" s="3" t="s">
        <v>32</v>
      </c>
      <c r="B202" s="3" t="s">
        <v>2</v>
      </c>
      <c r="C202" s="3">
        <v>3</v>
      </c>
      <c r="D202" s="3">
        <v>2</v>
      </c>
      <c r="E202" s="3">
        <v>2</v>
      </c>
      <c r="F202" s="3">
        <v>0</v>
      </c>
      <c r="G202" s="3">
        <v>0</v>
      </c>
    </row>
    <row r="203" spans="1:7" x14ac:dyDescent="0.25">
      <c r="A203" t="s">
        <v>32</v>
      </c>
      <c r="B203" t="s">
        <v>4</v>
      </c>
      <c r="C203">
        <v>1</v>
      </c>
      <c r="D203">
        <v>0</v>
      </c>
      <c r="E203">
        <v>0</v>
      </c>
      <c r="F203">
        <v>0</v>
      </c>
      <c r="G203">
        <v>1</v>
      </c>
    </row>
    <row r="204" spans="1:7" x14ac:dyDescent="0.25">
      <c r="A204" t="s">
        <v>32</v>
      </c>
      <c r="B204" t="s">
        <v>5</v>
      </c>
      <c r="C204">
        <v>68</v>
      </c>
      <c r="D204">
        <v>67</v>
      </c>
      <c r="E204">
        <f>23+33</f>
        <v>56</v>
      </c>
      <c r="F204">
        <f>44-37+4</f>
        <v>11</v>
      </c>
      <c r="G204">
        <v>0</v>
      </c>
    </row>
    <row r="205" spans="1:7" x14ac:dyDescent="0.25">
      <c r="A205" s="3" t="s">
        <v>32</v>
      </c>
      <c r="B205" s="3" t="s">
        <v>5</v>
      </c>
      <c r="C205" s="3">
        <v>51</v>
      </c>
      <c r="D205" s="3">
        <v>48</v>
      </c>
      <c r="E205" s="3">
        <v>40</v>
      </c>
      <c r="F205" s="3">
        <v>8</v>
      </c>
      <c r="G205" s="3">
        <v>0</v>
      </c>
    </row>
    <row r="206" spans="1:7" x14ac:dyDescent="0.25">
      <c r="A206" t="s">
        <v>32</v>
      </c>
      <c r="B206" t="s">
        <v>185</v>
      </c>
      <c r="C206">
        <f>98+20</f>
        <v>118</v>
      </c>
      <c r="D206">
        <f>94+20</f>
        <v>114</v>
      </c>
      <c r="E206">
        <f>53+50</f>
        <v>103</v>
      </c>
      <c r="F206">
        <f>61-54+4</f>
        <v>11</v>
      </c>
      <c r="G206">
        <v>3</v>
      </c>
    </row>
    <row r="207" spans="1:7" x14ac:dyDescent="0.25">
      <c r="A207" s="3" t="s">
        <v>32</v>
      </c>
      <c r="B207" s="3" t="s">
        <v>185</v>
      </c>
      <c r="C207" s="3">
        <v>114</v>
      </c>
      <c r="D207" s="3">
        <v>107</v>
      </c>
      <c r="E207" s="3">
        <v>87</v>
      </c>
      <c r="F207" s="3">
        <v>20</v>
      </c>
      <c r="G207" s="3">
        <v>2</v>
      </c>
    </row>
    <row r="208" spans="1:7" x14ac:dyDescent="0.25">
      <c r="A208" t="s">
        <v>32</v>
      </c>
      <c r="B208" t="s">
        <v>186</v>
      </c>
      <c r="C208">
        <f>150+8</f>
        <v>158</v>
      </c>
      <c r="D208">
        <v>149</v>
      </c>
      <c r="E208">
        <f>66+69</f>
        <v>135</v>
      </c>
      <c r="F208">
        <f>86-81+9</f>
        <v>14</v>
      </c>
      <c r="G208">
        <v>2</v>
      </c>
    </row>
    <row r="209" spans="1:7" x14ac:dyDescent="0.25">
      <c r="A209" s="3" t="s">
        <v>32</v>
      </c>
      <c r="B209" s="3" t="s">
        <v>186</v>
      </c>
      <c r="C209" s="3">
        <v>155</v>
      </c>
      <c r="D209" s="3">
        <v>146</v>
      </c>
      <c r="E209" s="3">
        <v>126</v>
      </c>
      <c r="F209" s="3">
        <v>20</v>
      </c>
      <c r="G209" s="3">
        <v>3</v>
      </c>
    </row>
    <row r="210" spans="1:7" x14ac:dyDescent="0.25">
      <c r="A210" t="s">
        <v>32</v>
      </c>
      <c r="B210" t="s">
        <v>189</v>
      </c>
      <c r="C210">
        <v>3</v>
      </c>
      <c r="D210">
        <v>3</v>
      </c>
      <c r="E210">
        <f>1+1</f>
        <v>2</v>
      </c>
      <c r="F210">
        <f>2-1</f>
        <v>1</v>
      </c>
      <c r="G210">
        <v>0</v>
      </c>
    </row>
    <row r="211" spans="1:7" x14ac:dyDescent="0.25">
      <c r="A211" t="s">
        <v>32</v>
      </c>
      <c r="B211" t="s">
        <v>187</v>
      </c>
      <c r="C211">
        <f>73+4</f>
        <v>77</v>
      </c>
      <c r="D211">
        <f>72+4</f>
        <v>76</v>
      </c>
      <c r="E211">
        <f>40+22</f>
        <v>62</v>
      </c>
      <c r="F211">
        <f>36-29+7</f>
        <v>14</v>
      </c>
      <c r="G211">
        <v>1</v>
      </c>
    </row>
    <row r="212" spans="1:7" x14ac:dyDescent="0.25">
      <c r="A212" s="3" t="s">
        <v>32</v>
      </c>
      <c r="B212" s="3" t="s">
        <v>187</v>
      </c>
      <c r="C212" s="3">
        <v>78</v>
      </c>
      <c r="D212" s="3">
        <v>73</v>
      </c>
      <c r="E212" s="3">
        <v>59</v>
      </c>
      <c r="F212" s="3">
        <v>14</v>
      </c>
      <c r="G212" s="3">
        <v>4</v>
      </c>
    </row>
    <row r="213" spans="1:7" x14ac:dyDescent="0.25">
      <c r="A213" t="s">
        <v>32</v>
      </c>
      <c r="B213" t="s">
        <v>6</v>
      </c>
      <c r="C213">
        <v>104</v>
      </c>
      <c r="D213">
        <v>104</v>
      </c>
      <c r="E213">
        <v>103</v>
      </c>
      <c r="F213">
        <v>1</v>
      </c>
      <c r="G213">
        <v>0</v>
      </c>
    </row>
    <row r="214" spans="1:7" x14ac:dyDescent="0.25">
      <c r="A214" s="3" t="s">
        <v>32</v>
      </c>
      <c r="B214" s="3" t="s">
        <v>6</v>
      </c>
      <c r="C214" s="3">
        <v>34</v>
      </c>
      <c r="D214" s="3">
        <v>34</v>
      </c>
      <c r="E214" s="3">
        <v>34</v>
      </c>
      <c r="F214" s="3">
        <v>0</v>
      </c>
      <c r="G214" s="3">
        <v>0</v>
      </c>
    </row>
    <row r="215" spans="1:7" x14ac:dyDescent="0.25">
      <c r="A215" t="s">
        <v>32</v>
      </c>
      <c r="B215" t="s">
        <v>7</v>
      </c>
      <c r="C215">
        <v>84</v>
      </c>
      <c r="D215">
        <v>74</v>
      </c>
      <c r="E215">
        <v>64</v>
      </c>
      <c r="F215">
        <v>10</v>
      </c>
      <c r="G215">
        <v>0</v>
      </c>
    </row>
    <row r="216" spans="1:7" x14ac:dyDescent="0.25">
      <c r="A216" s="3" t="s">
        <v>32</v>
      </c>
      <c r="B216" s="3" t="s">
        <v>7</v>
      </c>
      <c r="C216" s="3">
        <v>51</v>
      </c>
      <c r="D216" s="3">
        <v>38</v>
      </c>
      <c r="E216" s="3">
        <v>34</v>
      </c>
      <c r="F216" s="3">
        <v>4</v>
      </c>
      <c r="G216" s="3">
        <v>0</v>
      </c>
    </row>
    <row r="217" spans="1:7" x14ac:dyDescent="0.25">
      <c r="A217" t="s">
        <v>32</v>
      </c>
      <c r="B217" t="s">
        <v>8</v>
      </c>
      <c r="C217">
        <v>73</v>
      </c>
      <c r="D217">
        <v>72</v>
      </c>
      <c r="E217">
        <v>56</v>
      </c>
      <c r="F217">
        <v>16</v>
      </c>
      <c r="G217">
        <v>1</v>
      </c>
    </row>
    <row r="218" spans="1:7" x14ac:dyDescent="0.25">
      <c r="A218" s="3" t="s">
        <v>32</v>
      </c>
      <c r="B218" s="3" t="s">
        <v>8</v>
      </c>
      <c r="C218" s="3">
        <v>58</v>
      </c>
      <c r="D218" s="3">
        <v>56</v>
      </c>
      <c r="E218" s="3">
        <v>33</v>
      </c>
      <c r="F218" s="3">
        <v>23</v>
      </c>
      <c r="G218" s="3">
        <v>2</v>
      </c>
    </row>
    <row r="219" spans="1:7" x14ac:dyDescent="0.25">
      <c r="A219" t="s">
        <v>32</v>
      </c>
      <c r="B219" t="s">
        <v>9</v>
      </c>
      <c r="C219">
        <v>41</v>
      </c>
      <c r="D219">
        <v>40</v>
      </c>
      <c r="E219">
        <v>40</v>
      </c>
      <c r="F219">
        <v>0</v>
      </c>
      <c r="G219">
        <v>1</v>
      </c>
    </row>
    <row r="220" spans="1:7" x14ac:dyDescent="0.25">
      <c r="A220" s="3" t="s">
        <v>32</v>
      </c>
      <c r="B220" s="3" t="s">
        <v>9</v>
      </c>
      <c r="C220" s="3">
        <v>18</v>
      </c>
      <c r="D220" s="3">
        <v>18</v>
      </c>
      <c r="E220" s="3">
        <v>15</v>
      </c>
      <c r="F220" s="3">
        <v>3</v>
      </c>
      <c r="G220" s="3">
        <v>0</v>
      </c>
    </row>
    <row r="221" spans="1:7" x14ac:dyDescent="0.25">
      <c r="A221" t="s">
        <v>32</v>
      </c>
      <c r="B221" t="s">
        <v>10</v>
      </c>
      <c r="C221">
        <v>137</v>
      </c>
      <c r="D221">
        <v>137</v>
      </c>
      <c r="E221">
        <v>125</v>
      </c>
      <c r="F221">
        <v>12</v>
      </c>
      <c r="G221">
        <v>0</v>
      </c>
    </row>
    <row r="222" spans="1:7" x14ac:dyDescent="0.25">
      <c r="A222" s="3" t="s">
        <v>32</v>
      </c>
      <c r="B222" s="3" t="s">
        <v>10</v>
      </c>
      <c r="C222" s="3">
        <v>134</v>
      </c>
      <c r="D222" s="3">
        <v>132</v>
      </c>
      <c r="E222" s="3">
        <v>113</v>
      </c>
      <c r="F222" s="3">
        <v>19</v>
      </c>
      <c r="G222" s="3">
        <v>1</v>
      </c>
    </row>
    <row r="223" spans="1:7" x14ac:dyDescent="0.25">
      <c r="A223" t="s">
        <v>32</v>
      </c>
      <c r="B223" t="s">
        <v>177</v>
      </c>
      <c r="C223">
        <v>66</v>
      </c>
      <c r="D223">
        <v>65</v>
      </c>
      <c r="E223">
        <v>61</v>
      </c>
      <c r="F223">
        <v>4</v>
      </c>
      <c r="G223">
        <v>0</v>
      </c>
    </row>
    <row r="224" spans="1:7" x14ac:dyDescent="0.25">
      <c r="A224" s="3" t="s">
        <v>32</v>
      </c>
      <c r="B224" s="3" t="s">
        <v>177</v>
      </c>
      <c r="C224" s="3">
        <v>37</v>
      </c>
      <c r="D224" s="3">
        <v>36</v>
      </c>
      <c r="E224" s="3">
        <v>35</v>
      </c>
      <c r="F224" s="3">
        <v>1</v>
      </c>
      <c r="G224" s="3">
        <v>1</v>
      </c>
    </row>
    <row r="225" spans="1:7" x14ac:dyDescent="0.25">
      <c r="A225" t="s">
        <v>116</v>
      </c>
      <c r="B225" t="s">
        <v>2</v>
      </c>
      <c r="C225">
        <v>4</v>
      </c>
      <c r="D225">
        <v>4</v>
      </c>
      <c r="E225">
        <v>3</v>
      </c>
      <c r="F225">
        <v>1</v>
      </c>
      <c r="G225">
        <v>0</v>
      </c>
    </row>
    <row r="226" spans="1:7" x14ac:dyDescent="0.25">
      <c r="A226" t="s">
        <v>116</v>
      </c>
      <c r="B226" t="s">
        <v>4</v>
      </c>
      <c r="C226">
        <v>2</v>
      </c>
      <c r="D226">
        <v>0</v>
      </c>
      <c r="E226">
        <v>0</v>
      </c>
      <c r="F226">
        <v>0</v>
      </c>
      <c r="G226">
        <v>0</v>
      </c>
    </row>
    <row r="227" spans="1:7" x14ac:dyDescent="0.25">
      <c r="A227" t="s">
        <v>116</v>
      </c>
      <c r="B227" t="s">
        <v>5</v>
      </c>
      <c r="C227">
        <v>34</v>
      </c>
      <c r="D227">
        <v>33</v>
      </c>
      <c r="E227">
        <v>11</v>
      </c>
      <c r="F227">
        <v>22</v>
      </c>
      <c r="G227">
        <v>0</v>
      </c>
    </row>
    <row r="228" spans="1:7" x14ac:dyDescent="0.25">
      <c r="A228" s="3" t="s">
        <v>116</v>
      </c>
      <c r="B228" s="3" t="s">
        <v>5</v>
      </c>
      <c r="C228" s="3">
        <v>39</v>
      </c>
      <c r="D228" s="3">
        <v>39</v>
      </c>
      <c r="E228" s="3">
        <f>19+9</f>
        <v>28</v>
      </c>
      <c r="F228" s="3">
        <f>20-10+1</f>
        <v>11</v>
      </c>
      <c r="G228" s="3">
        <v>0</v>
      </c>
    </row>
    <row r="229" spans="1:7" x14ac:dyDescent="0.25">
      <c r="A229" t="s">
        <v>116</v>
      </c>
      <c r="B229" t="s">
        <v>185</v>
      </c>
      <c r="C229">
        <f>25+2</f>
        <v>27</v>
      </c>
      <c r="D229">
        <f>25+2</f>
        <v>27</v>
      </c>
      <c r="E229">
        <f>9+1</f>
        <v>10</v>
      </c>
      <c r="F229">
        <f>16+1</f>
        <v>17</v>
      </c>
      <c r="G229">
        <v>0</v>
      </c>
    </row>
    <row r="230" spans="1:7" x14ac:dyDescent="0.25">
      <c r="A230" s="3" t="s">
        <v>116</v>
      </c>
      <c r="B230" s="3" t="s">
        <v>185</v>
      </c>
      <c r="C230" s="3">
        <v>55</v>
      </c>
      <c r="D230" s="3">
        <v>55</v>
      </c>
      <c r="E230" s="3">
        <f>16+4</f>
        <v>20</v>
      </c>
      <c r="F230" s="3">
        <f>39-10+6</f>
        <v>35</v>
      </c>
      <c r="G230" s="3">
        <v>0</v>
      </c>
    </row>
    <row r="231" spans="1:7" x14ac:dyDescent="0.25">
      <c r="A231" t="s">
        <v>116</v>
      </c>
      <c r="B231" t="s">
        <v>186</v>
      </c>
      <c r="C231">
        <v>15</v>
      </c>
      <c r="D231">
        <v>15</v>
      </c>
      <c r="E231">
        <v>0</v>
      </c>
      <c r="F231">
        <v>15</v>
      </c>
      <c r="G231">
        <v>0</v>
      </c>
    </row>
    <row r="232" spans="1:7" x14ac:dyDescent="0.25">
      <c r="A232" s="3" t="s">
        <v>116</v>
      </c>
      <c r="B232" s="3" t="s">
        <v>186</v>
      </c>
      <c r="C232" s="3">
        <v>5</v>
      </c>
      <c r="D232" s="3">
        <v>5</v>
      </c>
      <c r="E232" s="3">
        <v>0</v>
      </c>
      <c r="F232" s="3">
        <v>5</v>
      </c>
      <c r="G232" s="3">
        <v>0</v>
      </c>
    </row>
    <row r="233" spans="1:7" x14ac:dyDescent="0.25">
      <c r="A233" t="s">
        <v>116</v>
      </c>
      <c r="B233" t="s">
        <v>187</v>
      </c>
      <c r="C233">
        <v>51</v>
      </c>
      <c r="D233">
        <v>50</v>
      </c>
      <c r="E233">
        <v>12</v>
      </c>
      <c r="F233">
        <v>38</v>
      </c>
      <c r="G233">
        <v>0</v>
      </c>
    </row>
    <row r="234" spans="1:7" x14ac:dyDescent="0.25">
      <c r="A234" s="3" t="s">
        <v>116</v>
      </c>
      <c r="B234" s="3" t="s">
        <v>187</v>
      </c>
      <c r="C234" s="3">
        <v>35</v>
      </c>
      <c r="D234" s="3">
        <v>33</v>
      </c>
      <c r="E234" s="3">
        <f>17+11</f>
        <v>28</v>
      </c>
      <c r="F234" s="3">
        <f>16-14+3</f>
        <v>5</v>
      </c>
      <c r="G234" s="3">
        <v>0</v>
      </c>
    </row>
    <row r="235" spans="1:7" x14ac:dyDescent="0.25">
      <c r="A235" t="s">
        <v>116</v>
      </c>
      <c r="B235" t="s">
        <v>6</v>
      </c>
      <c r="C235">
        <v>57</v>
      </c>
      <c r="D235">
        <v>56</v>
      </c>
      <c r="E235">
        <v>56</v>
      </c>
      <c r="F235">
        <v>0</v>
      </c>
      <c r="G235">
        <v>0</v>
      </c>
    </row>
    <row r="236" spans="1:7" x14ac:dyDescent="0.25">
      <c r="A236" s="3" t="s">
        <v>116</v>
      </c>
      <c r="B236" s="3" t="s">
        <v>6</v>
      </c>
      <c r="C236" s="3">
        <v>47</v>
      </c>
      <c r="D236" s="3">
        <v>47</v>
      </c>
      <c r="E236" s="3">
        <v>47</v>
      </c>
      <c r="F236" s="3">
        <v>0</v>
      </c>
      <c r="G236" s="3">
        <v>0</v>
      </c>
    </row>
    <row r="237" spans="1:7" x14ac:dyDescent="0.25">
      <c r="A237" t="s">
        <v>116</v>
      </c>
      <c r="B237" t="s">
        <v>7</v>
      </c>
      <c r="C237">
        <v>18</v>
      </c>
      <c r="D237">
        <v>15</v>
      </c>
      <c r="E237">
        <v>8</v>
      </c>
      <c r="F237">
        <v>7</v>
      </c>
      <c r="G237">
        <v>0</v>
      </c>
    </row>
    <row r="238" spans="1:7" x14ac:dyDescent="0.25">
      <c r="A238" s="3" t="s">
        <v>116</v>
      </c>
      <c r="B238" s="3" t="s">
        <v>7</v>
      </c>
      <c r="C238" s="3">
        <v>2</v>
      </c>
      <c r="D238" s="3">
        <v>2</v>
      </c>
      <c r="E238" s="3">
        <v>0</v>
      </c>
      <c r="F238" s="3">
        <v>2</v>
      </c>
      <c r="G238" s="3">
        <v>0</v>
      </c>
    </row>
    <row r="239" spans="1:7" x14ac:dyDescent="0.25">
      <c r="A239" t="s">
        <v>116</v>
      </c>
      <c r="B239" t="s">
        <v>8</v>
      </c>
      <c r="C239">
        <v>10</v>
      </c>
      <c r="D239">
        <v>10</v>
      </c>
      <c r="E239">
        <v>6</v>
      </c>
      <c r="F239">
        <v>4</v>
      </c>
      <c r="G239">
        <v>0</v>
      </c>
    </row>
    <row r="240" spans="1:7" x14ac:dyDescent="0.25">
      <c r="A240" s="3" t="s">
        <v>116</v>
      </c>
      <c r="B240" s="3" t="s">
        <v>8</v>
      </c>
      <c r="C240" s="3">
        <v>3</v>
      </c>
      <c r="D240" s="3">
        <v>3</v>
      </c>
      <c r="E240" s="3">
        <v>2</v>
      </c>
      <c r="F240" s="3">
        <v>1</v>
      </c>
      <c r="G240" s="3">
        <v>0</v>
      </c>
    </row>
    <row r="241" spans="1:7" x14ac:dyDescent="0.25">
      <c r="A241" t="s">
        <v>116</v>
      </c>
      <c r="B241" t="s">
        <v>9</v>
      </c>
      <c r="C241">
        <v>10</v>
      </c>
      <c r="D241">
        <v>10</v>
      </c>
      <c r="E241">
        <v>10</v>
      </c>
      <c r="F241">
        <v>0</v>
      </c>
      <c r="G241">
        <v>0</v>
      </c>
    </row>
    <row r="242" spans="1:7" x14ac:dyDescent="0.25">
      <c r="A242" t="s">
        <v>116</v>
      </c>
      <c r="B242" t="s">
        <v>10</v>
      </c>
      <c r="C242">
        <v>26</v>
      </c>
      <c r="D242">
        <v>26</v>
      </c>
      <c r="E242">
        <v>19</v>
      </c>
      <c r="F242">
        <v>7</v>
      </c>
      <c r="G242">
        <v>0</v>
      </c>
    </row>
    <row r="243" spans="1:7" x14ac:dyDescent="0.25">
      <c r="A243" s="3" t="s">
        <v>116</v>
      </c>
      <c r="B243" s="3" t="s">
        <v>10</v>
      </c>
      <c r="C243" s="3">
        <v>21</v>
      </c>
      <c r="D243" s="3">
        <v>21</v>
      </c>
      <c r="E243" s="3">
        <v>14</v>
      </c>
      <c r="F243" s="3">
        <v>7</v>
      </c>
      <c r="G243" s="3">
        <v>0</v>
      </c>
    </row>
    <row r="244" spans="1:7" x14ac:dyDescent="0.25">
      <c r="A244" t="s">
        <v>116</v>
      </c>
      <c r="B244" t="s">
        <v>177</v>
      </c>
      <c r="C244">
        <v>50</v>
      </c>
      <c r="D244">
        <v>50</v>
      </c>
      <c r="E244">
        <v>22</v>
      </c>
      <c r="F244">
        <v>28</v>
      </c>
      <c r="G244">
        <v>0</v>
      </c>
    </row>
    <row r="245" spans="1:7" x14ac:dyDescent="0.25">
      <c r="A245" s="3" t="s">
        <v>116</v>
      </c>
      <c r="B245" s="3" t="s">
        <v>177</v>
      </c>
      <c r="C245" s="3">
        <v>24</v>
      </c>
      <c r="D245" s="3">
        <v>21</v>
      </c>
      <c r="E245" s="3">
        <v>8</v>
      </c>
      <c r="F245" s="3">
        <v>13</v>
      </c>
      <c r="G245" s="3">
        <v>0</v>
      </c>
    </row>
    <row r="246" spans="1:7" x14ac:dyDescent="0.25">
      <c r="A246" t="s">
        <v>78</v>
      </c>
      <c r="B246" t="s">
        <v>2</v>
      </c>
      <c r="C246">
        <v>8</v>
      </c>
      <c r="D246">
        <v>5</v>
      </c>
      <c r="E246">
        <v>2</v>
      </c>
      <c r="F246">
        <v>3</v>
      </c>
      <c r="G246">
        <v>0</v>
      </c>
    </row>
    <row r="247" spans="1:7" x14ac:dyDescent="0.25">
      <c r="A247" s="3" t="s">
        <v>78</v>
      </c>
      <c r="B247" s="3" t="s">
        <v>2</v>
      </c>
      <c r="C247" s="3">
        <v>4</v>
      </c>
      <c r="D247" s="3">
        <v>3</v>
      </c>
      <c r="E247" s="3">
        <v>3</v>
      </c>
      <c r="F247" s="3">
        <v>0</v>
      </c>
      <c r="G247" s="3">
        <v>0</v>
      </c>
    </row>
    <row r="248" spans="1:7" x14ac:dyDescent="0.25">
      <c r="A248" t="s">
        <v>78</v>
      </c>
      <c r="B248" t="s">
        <v>4</v>
      </c>
      <c r="C248">
        <v>2</v>
      </c>
      <c r="D248">
        <v>0</v>
      </c>
      <c r="E248">
        <v>0</v>
      </c>
      <c r="F248">
        <v>0</v>
      </c>
      <c r="G248">
        <v>0</v>
      </c>
    </row>
    <row r="249" spans="1:7" x14ac:dyDescent="0.25">
      <c r="A249" t="s">
        <v>78</v>
      </c>
      <c r="B249" t="s">
        <v>5</v>
      </c>
      <c r="C249">
        <v>23</v>
      </c>
      <c r="D249">
        <v>23</v>
      </c>
      <c r="E249">
        <v>15</v>
      </c>
      <c r="F249">
        <v>8</v>
      </c>
      <c r="G249">
        <v>0</v>
      </c>
    </row>
    <row r="250" spans="1:7" x14ac:dyDescent="0.25">
      <c r="A250" s="3" t="s">
        <v>78</v>
      </c>
      <c r="B250" s="3" t="s">
        <v>5</v>
      </c>
      <c r="C250" s="3">
        <v>22</v>
      </c>
      <c r="D250" s="3">
        <v>22</v>
      </c>
      <c r="E250" s="3">
        <f>19+2</f>
        <v>21</v>
      </c>
      <c r="F250" s="3">
        <f>3-2+0</f>
        <v>1</v>
      </c>
      <c r="G250" s="3">
        <v>0</v>
      </c>
    </row>
    <row r="251" spans="1:7" x14ac:dyDescent="0.25">
      <c r="A251" t="s">
        <v>78</v>
      </c>
      <c r="B251" t="s">
        <v>185</v>
      </c>
      <c r="C251">
        <f>9+3</f>
        <v>12</v>
      </c>
      <c r="D251">
        <f>9+3</f>
        <v>12</v>
      </c>
      <c r="E251">
        <f>4+1</f>
        <v>5</v>
      </c>
      <c r="F251">
        <f>5+2</f>
        <v>7</v>
      </c>
      <c r="G251">
        <v>0</v>
      </c>
    </row>
    <row r="252" spans="1:7" x14ac:dyDescent="0.25">
      <c r="A252" s="3" t="s">
        <v>78</v>
      </c>
      <c r="B252" s="3" t="s">
        <v>185</v>
      </c>
      <c r="C252" s="3">
        <v>15</v>
      </c>
      <c r="D252" s="3">
        <v>15</v>
      </c>
      <c r="E252" s="3">
        <f>10+1</f>
        <v>11</v>
      </c>
      <c r="F252" s="3">
        <f>5-3+2</f>
        <v>4</v>
      </c>
      <c r="G252" s="3">
        <v>0</v>
      </c>
    </row>
    <row r="253" spans="1:7" x14ac:dyDescent="0.25">
      <c r="A253" t="s">
        <v>78</v>
      </c>
      <c r="B253" t="s">
        <v>186</v>
      </c>
      <c r="C253">
        <v>4</v>
      </c>
      <c r="D253">
        <v>4</v>
      </c>
      <c r="E253">
        <v>0</v>
      </c>
      <c r="F253">
        <v>4</v>
      </c>
      <c r="G253">
        <v>0</v>
      </c>
    </row>
    <row r="254" spans="1:7" x14ac:dyDescent="0.25">
      <c r="A254" s="3" t="s">
        <v>78</v>
      </c>
      <c r="B254" s="3" t="s">
        <v>186</v>
      </c>
      <c r="C254" s="3">
        <v>6</v>
      </c>
      <c r="D254" s="3">
        <v>6</v>
      </c>
      <c r="E254" s="3">
        <v>0</v>
      </c>
      <c r="F254" s="3">
        <v>6</v>
      </c>
      <c r="G254" s="3">
        <v>0</v>
      </c>
    </row>
    <row r="255" spans="1:7" x14ac:dyDescent="0.25">
      <c r="A255" t="s">
        <v>78</v>
      </c>
      <c r="B255" t="s">
        <v>189</v>
      </c>
      <c r="C255">
        <v>1</v>
      </c>
      <c r="D255">
        <v>1</v>
      </c>
      <c r="E255">
        <v>0</v>
      </c>
      <c r="F255">
        <v>1</v>
      </c>
      <c r="G255">
        <v>0</v>
      </c>
    </row>
    <row r="256" spans="1:7" x14ac:dyDescent="0.25">
      <c r="A256" t="s">
        <v>78</v>
      </c>
      <c r="B256" t="s">
        <v>187</v>
      </c>
      <c r="C256">
        <f>46+1</f>
        <v>47</v>
      </c>
      <c r="D256">
        <f>45+1</f>
        <v>46</v>
      </c>
      <c r="E256">
        <f>33+1</f>
        <v>34</v>
      </c>
      <c r="F256">
        <v>12</v>
      </c>
      <c r="G256">
        <v>0</v>
      </c>
    </row>
    <row r="257" spans="1:7" x14ac:dyDescent="0.25">
      <c r="A257" s="3" t="s">
        <v>78</v>
      </c>
      <c r="B257" s="3" t="s">
        <v>187</v>
      </c>
      <c r="C257" s="3">
        <v>21</v>
      </c>
      <c r="D257" s="3">
        <v>20</v>
      </c>
      <c r="E257" s="3">
        <f>13+4</f>
        <v>17</v>
      </c>
      <c r="F257" s="3">
        <f>7-7+3</f>
        <v>3</v>
      </c>
      <c r="G257" s="3">
        <v>0</v>
      </c>
    </row>
    <row r="258" spans="1:7" x14ac:dyDescent="0.25">
      <c r="A258" t="s">
        <v>78</v>
      </c>
      <c r="B258" t="s">
        <v>6</v>
      </c>
      <c r="C258">
        <v>9</v>
      </c>
      <c r="D258">
        <v>9</v>
      </c>
      <c r="E258">
        <v>9</v>
      </c>
      <c r="F258">
        <v>0</v>
      </c>
      <c r="G258">
        <v>0</v>
      </c>
    </row>
    <row r="259" spans="1:7" x14ac:dyDescent="0.25">
      <c r="A259" s="3" t="s">
        <v>78</v>
      </c>
      <c r="B259" s="3" t="s">
        <v>6</v>
      </c>
      <c r="C259" s="3">
        <v>18</v>
      </c>
      <c r="D259" s="3">
        <v>18</v>
      </c>
      <c r="E259" s="3">
        <v>18</v>
      </c>
      <c r="F259" s="3">
        <v>0</v>
      </c>
      <c r="G259" s="3">
        <v>0</v>
      </c>
    </row>
    <row r="260" spans="1:7" x14ac:dyDescent="0.25">
      <c r="A260" t="s">
        <v>78</v>
      </c>
      <c r="B260" t="s">
        <v>7</v>
      </c>
      <c r="C260">
        <v>7</v>
      </c>
      <c r="D260">
        <v>3</v>
      </c>
      <c r="E260">
        <v>2</v>
      </c>
      <c r="F260">
        <v>1</v>
      </c>
      <c r="G260">
        <v>0</v>
      </c>
    </row>
    <row r="261" spans="1:7" x14ac:dyDescent="0.25">
      <c r="A261" s="3" t="s">
        <v>78</v>
      </c>
      <c r="B261" s="3" t="s">
        <v>7</v>
      </c>
      <c r="C261" s="3">
        <v>3</v>
      </c>
      <c r="D261" s="3">
        <v>3</v>
      </c>
      <c r="E261" s="3">
        <v>1</v>
      </c>
      <c r="F261" s="3">
        <v>2</v>
      </c>
      <c r="G261" s="3">
        <v>0</v>
      </c>
    </row>
    <row r="262" spans="1:7" x14ac:dyDescent="0.25">
      <c r="A262" t="s">
        <v>78</v>
      </c>
      <c r="B262" t="s">
        <v>8</v>
      </c>
      <c r="C262">
        <v>4</v>
      </c>
      <c r="D262">
        <v>4</v>
      </c>
      <c r="E262">
        <v>3</v>
      </c>
      <c r="F262">
        <v>1</v>
      </c>
      <c r="G262">
        <v>0</v>
      </c>
    </row>
    <row r="263" spans="1:7" x14ac:dyDescent="0.25">
      <c r="A263" s="3" t="s">
        <v>78</v>
      </c>
      <c r="B263" s="3" t="s">
        <v>8</v>
      </c>
      <c r="C263" s="3">
        <v>5</v>
      </c>
      <c r="D263" s="3">
        <v>5</v>
      </c>
      <c r="E263" s="3">
        <v>3</v>
      </c>
      <c r="F263" s="3">
        <v>2</v>
      </c>
      <c r="G263" s="3">
        <v>0</v>
      </c>
    </row>
    <row r="264" spans="1:7" x14ac:dyDescent="0.25">
      <c r="A264" t="s">
        <v>78</v>
      </c>
      <c r="B264" t="s">
        <v>9</v>
      </c>
      <c r="C264">
        <v>5</v>
      </c>
      <c r="D264">
        <v>4</v>
      </c>
      <c r="E264">
        <v>3</v>
      </c>
      <c r="F264">
        <v>1</v>
      </c>
      <c r="G264">
        <v>0</v>
      </c>
    </row>
    <row r="265" spans="1:7" x14ac:dyDescent="0.25">
      <c r="A265" s="3" t="s">
        <v>78</v>
      </c>
      <c r="B265" s="3" t="s">
        <v>9</v>
      </c>
      <c r="C265" s="3">
        <v>4</v>
      </c>
      <c r="D265" s="3">
        <v>4</v>
      </c>
      <c r="E265" s="3">
        <v>3</v>
      </c>
      <c r="F265" s="3">
        <v>1</v>
      </c>
      <c r="G265" s="3">
        <v>0</v>
      </c>
    </row>
    <row r="266" spans="1:7" x14ac:dyDescent="0.25">
      <c r="A266" t="s">
        <v>78</v>
      </c>
      <c r="B266" t="s">
        <v>10</v>
      </c>
      <c r="C266">
        <v>9</v>
      </c>
      <c r="D266">
        <v>9</v>
      </c>
      <c r="E266">
        <v>6</v>
      </c>
      <c r="F266">
        <v>3</v>
      </c>
      <c r="G266">
        <v>0</v>
      </c>
    </row>
    <row r="267" spans="1:7" x14ac:dyDescent="0.25">
      <c r="A267" s="3" t="s">
        <v>78</v>
      </c>
      <c r="B267" s="3" t="s">
        <v>10</v>
      </c>
      <c r="C267" s="3">
        <v>11</v>
      </c>
      <c r="D267" s="3">
        <v>11</v>
      </c>
      <c r="E267" s="3">
        <v>11</v>
      </c>
      <c r="F267" s="3">
        <v>0</v>
      </c>
      <c r="G267" s="3">
        <v>0</v>
      </c>
    </row>
    <row r="268" spans="1:7" x14ac:dyDescent="0.25">
      <c r="A268" t="s">
        <v>78</v>
      </c>
      <c r="B268" t="s">
        <v>177</v>
      </c>
      <c r="C268">
        <v>17</v>
      </c>
      <c r="D268">
        <v>9</v>
      </c>
      <c r="E268">
        <v>9</v>
      </c>
      <c r="F268">
        <v>0</v>
      </c>
      <c r="G268">
        <v>0</v>
      </c>
    </row>
    <row r="269" spans="1:7" x14ac:dyDescent="0.25">
      <c r="A269" s="3" t="s">
        <v>78</v>
      </c>
      <c r="B269" s="3" t="s">
        <v>177</v>
      </c>
      <c r="C269" s="3">
        <v>17</v>
      </c>
      <c r="D269" s="3">
        <v>4</v>
      </c>
      <c r="E269" s="3">
        <v>4</v>
      </c>
      <c r="F269" s="3">
        <v>0</v>
      </c>
      <c r="G269" s="3">
        <v>0</v>
      </c>
    </row>
    <row r="270" spans="1:7" x14ac:dyDescent="0.25">
      <c r="A270" t="s">
        <v>112</v>
      </c>
      <c r="B270" t="s">
        <v>2</v>
      </c>
      <c r="C270">
        <v>3</v>
      </c>
      <c r="D270">
        <v>3</v>
      </c>
      <c r="E270">
        <v>3</v>
      </c>
      <c r="F270">
        <v>0</v>
      </c>
      <c r="G270">
        <v>0</v>
      </c>
    </row>
    <row r="271" spans="1:7" x14ac:dyDescent="0.25">
      <c r="A271" s="3" t="s">
        <v>112</v>
      </c>
      <c r="B271" s="3" t="s">
        <v>4</v>
      </c>
      <c r="C271" s="3">
        <v>1</v>
      </c>
      <c r="D271" s="3">
        <v>0</v>
      </c>
      <c r="E271" s="3">
        <v>0</v>
      </c>
      <c r="F271" s="3">
        <v>0</v>
      </c>
      <c r="G271" s="3">
        <v>0</v>
      </c>
    </row>
    <row r="272" spans="1:7" x14ac:dyDescent="0.25">
      <c r="A272" t="s">
        <v>112</v>
      </c>
      <c r="B272" t="s">
        <v>5</v>
      </c>
      <c r="C272">
        <v>24</v>
      </c>
      <c r="D272">
        <v>24</v>
      </c>
      <c r="E272">
        <f>5+10</f>
        <v>15</v>
      </c>
      <c r="F272">
        <f>19-17+7</f>
        <v>9</v>
      </c>
      <c r="G272">
        <v>0</v>
      </c>
    </row>
    <row r="273" spans="1:7" x14ac:dyDescent="0.25">
      <c r="A273" s="3" t="s">
        <v>112</v>
      </c>
      <c r="B273" s="3" t="s">
        <v>5</v>
      </c>
      <c r="C273" s="3">
        <v>28</v>
      </c>
      <c r="D273" s="3">
        <v>26</v>
      </c>
      <c r="E273" s="3">
        <v>12</v>
      </c>
      <c r="F273" s="3">
        <v>14</v>
      </c>
      <c r="G273" s="3">
        <v>0</v>
      </c>
    </row>
    <row r="274" spans="1:7" x14ac:dyDescent="0.25">
      <c r="A274" t="s">
        <v>112</v>
      </c>
      <c r="B274" t="s">
        <v>185</v>
      </c>
      <c r="C274">
        <f>27+9</f>
        <v>36</v>
      </c>
      <c r="D274">
        <f>26+9</f>
        <v>35</v>
      </c>
      <c r="E274">
        <f>14+3</f>
        <v>17</v>
      </c>
      <c r="F274">
        <f>12+6</f>
        <v>18</v>
      </c>
      <c r="G274">
        <v>0</v>
      </c>
    </row>
    <row r="275" spans="1:7" x14ac:dyDescent="0.25">
      <c r="A275" s="3" t="s">
        <v>112</v>
      </c>
      <c r="B275" s="3" t="s">
        <v>185</v>
      </c>
      <c r="C275" s="3">
        <v>34</v>
      </c>
      <c r="D275" s="3">
        <v>31</v>
      </c>
      <c r="E275" s="3">
        <f>13+7</f>
        <v>20</v>
      </c>
      <c r="F275" s="3">
        <f>18-13+6</f>
        <v>11</v>
      </c>
      <c r="G275" s="3">
        <v>1</v>
      </c>
    </row>
    <row r="276" spans="1:7" x14ac:dyDescent="0.25">
      <c r="A276" t="s">
        <v>112</v>
      </c>
      <c r="B276" t="s">
        <v>186</v>
      </c>
      <c r="C276">
        <v>14</v>
      </c>
      <c r="D276">
        <v>14</v>
      </c>
      <c r="E276">
        <v>0</v>
      </c>
      <c r="F276">
        <v>14</v>
      </c>
      <c r="G276">
        <v>0</v>
      </c>
    </row>
    <row r="277" spans="1:7" x14ac:dyDescent="0.25">
      <c r="A277" s="3" t="s">
        <v>112</v>
      </c>
      <c r="B277" s="3" t="s">
        <v>186</v>
      </c>
      <c r="C277" s="3">
        <v>4</v>
      </c>
      <c r="D277" s="3">
        <v>4</v>
      </c>
      <c r="E277" s="3">
        <v>0</v>
      </c>
      <c r="F277" s="3">
        <v>4</v>
      </c>
      <c r="G277" s="3">
        <v>0</v>
      </c>
    </row>
    <row r="278" spans="1:7" x14ac:dyDescent="0.25">
      <c r="A278" t="s">
        <v>112</v>
      </c>
      <c r="B278" t="s">
        <v>187</v>
      </c>
      <c r="C278">
        <v>161</v>
      </c>
      <c r="D278">
        <v>160</v>
      </c>
      <c r="E278">
        <v>79</v>
      </c>
      <c r="F278">
        <v>81</v>
      </c>
      <c r="G278">
        <v>0</v>
      </c>
    </row>
    <row r="279" spans="1:7" x14ac:dyDescent="0.25">
      <c r="A279" s="3" t="s">
        <v>112</v>
      </c>
      <c r="B279" s="3" t="s">
        <v>187</v>
      </c>
      <c r="C279" s="3">
        <v>116</v>
      </c>
      <c r="D279" s="3">
        <v>110</v>
      </c>
      <c r="E279" s="3">
        <f>53+33</f>
        <v>86</v>
      </c>
      <c r="F279" s="3">
        <f>57-44+11</f>
        <v>24</v>
      </c>
      <c r="G279" s="3">
        <v>0</v>
      </c>
    </row>
    <row r="280" spans="1:7" x14ac:dyDescent="0.25">
      <c r="A280" t="s">
        <v>112</v>
      </c>
      <c r="B280" t="s">
        <v>6</v>
      </c>
      <c r="C280">
        <v>87</v>
      </c>
      <c r="D280">
        <v>85</v>
      </c>
      <c r="E280">
        <v>84</v>
      </c>
      <c r="F280">
        <v>1</v>
      </c>
      <c r="G280">
        <v>0</v>
      </c>
    </row>
    <row r="281" spans="1:7" x14ac:dyDescent="0.25">
      <c r="A281" s="3" t="s">
        <v>112</v>
      </c>
      <c r="B281" s="3" t="s">
        <v>6</v>
      </c>
      <c r="C281" s="3">
        <v>45</v>
      </c>
      <c r="D281" s="3">
        <v>42</v>
      </c>
      <c r="E281" s="3">
        <v>41</v>
      </c>
      <c r="F281" s="3">
        <v>1</v>
      </c>
      <c r="G281" s="3">
        <v>0</v>
      </c>
    </row>
    <row r="282" spans="1:7" x14ac:dyDescent="0.25">
      <c r="A282" t="s">
        <v>112</v>
      </c>
      <c r="B282" t="s">
        <v>7</v>
      </c>
      <c r="C282">
        <v>45</v>
      </c>
      <c r="D282">
        <v>37</v>
      </c>
      <c r="E282">
        <v>18</v>
      </c>
      <c r="F282">
        <v>19</v>
      </c>
      <c r="G282">
        <v>0</v>
      </c>
    </row>
    <row r="283" spans="1:7" x14ac:dyDescent="0.25">
      <c r="A283" s="3" t="s">
        <v>112</v>
      </c>
      <c r="B283" s="3" t="s">
        <v>7</v>
      </c>
      <c r="C283" s="3">
        <v>8</v>
      </c>
      <c r="D283" s="3">
        <v>8</v>
      </c>
      <c r="E283" s="3">
        <v>2</v>
      </c>
      <c r="F283" s="3">
        <v>6</v>
      </c>
      <c r="G283" s="3">
        <v>0</v>
      </c>
    </row>
    <row r="284" spans="1:7" x14ac:dyDescent="0.25">
      <c r="A284" t="s">
        <v>112</v>
      </c>
      <c r="B284" t="s">
        <v>8</v>
      </c>
      <c r="C284">
        <v>16</v>
      </c>
      <c r="D284">
        <v>16</v>
      </c>
      <c r="E284">
        <v>11</v>
      </c>
      <c r="F284">
        <v>5</v>
      </c>
      <c r="G284">
        <v>0</v>
      </c>
    </row>
    <row r="285" spans="1:7" x14ac:dyDescent="0.25">
      <c r="A285" s="3" t="s">
        <v>112</v>
      </c>
      <c r="B285" s="3" t="s">
        <v>8</v>
      </c>
      <c r="C285" s="3">
        <v>17</v>
      </c>
      <c r="D285" s="3">
        <v>17</v>
      </c>
      <c r="E285" s="3">
        <v>8</v>
      </c>
      <c r="F285" s="3">
        <v>9</v>
      </c>
      <c r="G285" s="3">
        <v>0</v>
      </c>
    </row>
    <row r="286" spans="1:7" x14ac:dyDescent="0.25">
      <c r="A286" t="s">
        <v>112</v>
      </c>
      <c r="B286" t="s">
        <v>9</v>
      </c>
      <c r="C286">
        <v>13</v>
      </c>
      <c r="D286">
        <v>13</v>
      </c>
      <c r="E286">
        <v>10</v>
      </c>
      <c r="F286">
        <v>3</v>
      </c>
      <c r="G286">
        <v>0</v>
      </c>
    </row>
    <row r="287" spans="1:7" x14ac:dyDescent="0.25">
      <c r="A287" s="3" t="s">
        <v>112</v>
      </c>
      <c r="B287" s="3" t="s">
        <v>9</v>
      </c>
      <c r="C287" s="3">
        <v>13</v>
      </c>
      <c r="D287" s="3">
        <v>13</v>
      </c>
      <c r="E287" s="3">
        <v>11</v>
      </c>
      <c r="F287" s="3">
        <v>2</v>
      </c>
      <c r="G287" s="3">
        <v>0</v>
      </c>
    </row>
    <row r="288" spans="1:7" x14ac:dyDescent="0.25">
      <c r="A288" t="s">
        <v>112</v>
      </c>
      <c r="B288" t="s">
        <v>10</v>
      </c>
      <c r="C288">
        <v>87</v>
      </c>
      <c r="D288">
        <v>87</v>
      </c>
      <c r="E288">
        <v>50</v>
      </c>
      <c r="F288">
        <v>37</v>
      </c>
      <c r="G288">
        <v>0</v>
      </c>
    </row>
    <row r="289" spans="1:7" x14ac:dyDescent="0.25">
      <c r="A289" s="3" t="s">
        <v>112</v>
      </c>
      <c r="B289" s="3" t="s">
        <v>10</v>
      </c>
      <c r="C289" s="3">
        <v>55</v>
      </c>
      <c r="D289" s="3">
        <v>54</v>
      </c>
      <c r="E289" s="3">
        <v>25</v>
      </c>
      <c r="F289" s="3">
        <v>29</v>
      </c>
      <c r="G289" s="3">
        <v>0</v>
      </c>
    </row>
    <row r="290" spans="1:7" x14ac:dyDescent="0.25">
      <c r="A290" t="s">
        <v>112</v>
      </c>
      <c r="B290" t="s">
        <v>177</v>
      </c>
      <c r="C290">
        <v>10</v>
      </c>
      <c r="D290">
        <v>9</v>
      </c>
      <c r="E290">
        <v>8</v>
      </c>
      <c r="F290">
        <v>1</v>
      </c>
      <c r="G290">
        <v>0</v>
      </c>
    </row>
    <row r="291" spans="1:7" x14ac:dyDescent="0.25">
      <c r="A291" s="3" t="s">
        <v>112</v>
      </c>
      <c r="B291" s="3" t="s">
        <v>177</v>
      </c>
      <c r="C291" s="3">
        <v>5</v>
      </c>
      <c r="D291" s="3">
        <v>5</v>
      </c>
      <c r="E291" s="3">
        <v>4</v>
      </c>
      <c r="F291" s="3">
        <v>1</v>
      </c>
      <c r="G291" s="3">
        <v>0</v>
      </c>
    </row>
    <row r="292" spans="1:7" x14ac:dyDescent="0.25">
      <c r="A292" t="s">
        <v>146</v>
      </c>
      <c r="B292" t="s">
        <v>2</v>
      </c>
      <c r="C292">
        <v>3</v>
      </c>
      <c r="D292">
        <v>2</v>
      </c>
      <c r="E292">
        <v>2</v>
      </c>
      <c r="F292">
        <v>0</v>
      </c>
      <c r="G292">
        <v>0</v>
      </c>
    </row>
    <row r="293" spans="1:7" x14ac:dyDescent="0.25">
      <c r="A293" t="s">
        <v>146</v>
      </c>
      <c r="B293" t="s">
        <v>4</v>
      </c>
      <c r="C293">
        <v>1</v>
      </c>
      <c r="D293">
        <v>0</v>
      </c>
      <c r="E293">
        <v>0</v>
      </c>
      <c r="F293">
        <v>0</v>
      </c>
      <c r="G293">
        <v>0</v>
      </c>
    </row>
    <row r="294" spans="1:7" x14ac:dyDescent="0.25">
      <c r="A294" t="s">
        <v>146</v>
      </c>
      <c r="B294" t="s">
        <v>5</v>
      </c>
      <c r="C294">
        <v>45</v>
      </c>
      <c r="D294">
        <v>45</v>
      </c>
      <c r="E294">
        <f>42+2</f>
        <v>44</v>
      </c>
      <c r="F294">
        <f>3-2+0</f>
        <v>1</v>
      </c>
      <c r="G294">
        <v>0</v>
      </c>
    </row>
    <row r="295" spans="1:7" x14ac:dyDescent="0.25">
      <c r="A295" s="3" t="s">
        <v>146</v>
      </c>
      <c r="B295" s="3" t="s">
        <v>5</v>
      </c>
      <c r="C295" s="3">
        <v>13</v>
      </c>
      <c r="D295" s="3">
        <v>12</v>
      </c>
      <c r="E295" s="3">
        <v>12</v>
      </c>
      <c r="F295" s="3">
        <v>0</v>
      </c>
      <c r="G295" s="3">
        <v>0</v>
      </c>
    </row>
    <row r="296" spans="1:7" x14ac:dyDescent="0.25">
      <c r="A296" t="s">
        <v>146</v>
      </c>
      <c r="B296" t="s">
        <v>185</v>
      </c>
      <c r="C296">
        <f>68+4</f>
        <v>72</v>
      </c>
      <c r="D296">
        <f>68+4</f>
        <v>72</v>
      </c>
      <c r="E296">
        <f>60+8</f>
        <v>68</v>
      </c>
      <c r="F296">
        <f>12-8+0</f>
        <v>4</v>
      </c>
      <c r="G296">
        <v>0</v>
      </c>
    </row>
    <row r="297" spans="1:7" x14ac:dyDescent="0.25">
      <c r="A297" s="3" t="s">
        <v>146</v>
      </c>
      <c r="B297" s="3" t="s">
        <v>185</v>
      </c>
      <c r="C297" s="3">
        <v>39</v>
      </c>
      <c r="D297" s="3">
        <v>38</v>
      </c>
      <c r="E297" s="3">
        <v>38</v>
      </c>
      <c r="F297" s="3">
        <v>0</v>
      </c>
      <c r="G297" s="3">
        <v>0</v>
      </c>
    </row>
    <row r="298" spans="1:7" x14ac:dyDescent="0.25">
      <c r="A298" t="s">
        <v>146</v>
      </c>
      <c r="B298" t="s">
        <v>186</v>
      </c>
      <c r="C298">
        <f>76+4</f>
        <v>80</v>
      </c>
      <c r="D298">
        <v>72</v>
      </c>
      <c r="E298">
        <f>60+8</f>
        <v>68</v>
      </c>
      <c r="F298">
        <f>13-10+1</f>
        <v>4</v>
      </c>
      <c r="G298">
        <v>0</v>
      </c>
    </row>
    <row r="299" spans="1:7" x14ac:dyDescent="0.25">
      <c r="A299" s="3" t="s">
        <v>146</v>
      </c>
      <c r="B299" s="3" t="s">
        <v>186</v>
      </c>
      <c r="C299" s="3">
        <v>53</v>
      </c>
      <c r="D299" s="3">
        <v>49</v>
      </c>
      <c r="E299" s="3">
        <v>47</v>
      </c>
      <c r="F299" s="3">
        <v>2</v>
      </c>
      <c r="G299" s="3">
        <v>0</v>
      </c>
    </row>
    <row r="300" spans="1:7" x14ac:dyDescent="0.25">
      <c r="A300" t="s">
        <v>146</v>
      </c>
      <c r="B300" t="s">
        <v>187</v>
      </c>
      <c r="C300">
        <f>50+1</f>
        <v>51</v>
      </c>
      <c r="D300">
        <f>50+1</f>
        <v>51</v>
      </c>
      <c r="E300">
        <f>39+12</f>
        <v>51</v>
      </c>
      <c r="F300">
        <f>12-13+1</f>
        <v>0</v>
      </c>
      <c r="G300">
        <v>0</v>
      </c>
    </row>
    <row r="301" spans="1:7" x14ac:dyDescent="0.25">
      <c r="A301" s="3" t="s">
        <v>146</v>
      </c>
      <c r="B301" s="3" t="s">
        <v>187</v>
      </c>
      <c r="C301" s="3">
        <v>8</v>
      </c>
      <c r="D301" s="3">
        <v>8</v>
      </c>
      <c r="E301" s="3">
        <v>7</v>
      </c>
      <c r="F301" s="3">
        <v>1</v>
      </c>
      <c r="G301" s="3">
        <v>0</v>
      </c>
    </row>
    <row r="302" spans="1:7" x14ac:dyDescent="0.25">
      <c r="A302" t="s">
        <v>146</v>
      </c>
      <c r="B302" t="s">
        <v>6</v>
      </c>
      <c r="C302">
        <v>87</v>
      </c>
      <c r="D302">
        <v>86</v>
      </c>
      <c r="E302">
        <v>85</v>
      </c>
      <c r="F302">
        <v>1</v>
      </c>
      <c r="G302">
        <v>0</v>
      </c>
    </row>
    <row r="303" spans="1:7" x14ac:dyDescent="0.25">
      <c r="A303" s="3" t="s">
        <v>146</v>
      </c>
      <c r="B303" s="3" t="s">
        <v>6</v>
      </c>
      <c r="C303" s="3">
        <v>40</v>
      </c>
      <c r="D303" s="3">
        <v>40</v>
      </c>
      <c r="E303" s="3">
        <v>39</v>
      </c>
      <c r="F303" s="3">
        <v>1</v>
      </c>
      <c r="G303" s="3">
        <v>0</v>
      </c>
    </row>
    <row r="304" spans="1:7" x14ac:dyDescent="0.25">
      <c r="A304" t="s">
        <v>146</v>
      </c>
      <c r="B304" t="s">
        <v>7</v>
      </c>
      <c r="C304">
        <v>36</v>
      </c>
      <c r="D304">
        <v>33</v>
      </c>
      <c r="E304">
        <v>28</v>
      </c>
      <c r="F304">
        <v>5</v>
      </c>
      <c r="G304">
        <v>0</v>
      </c>
    </row>
    <row r="305" spans="1:7" x14ac:dyDescent="0.25">
      <c r="A305" s="3" t="s">
        <v>146</v>
      </c>
      <c r="B305" s="3" t="s">
        <v>7</v>
      </c>
      <c r="C305" s="3">
        <v>14</v>
      </c>
      <c r="D305" s="3">
        <v>13</v>
      </c>
      <c r="E305" s="3">
        <v>12</v>
      </c>
      <c r="F305" s="3">
        <v>1</v>
      </c>
      <c r="G305" s="3">
        <v>0</v>
      </c>
    </row>
    <row r="306" spans="1:7" x14ac:dyDescent="0.25">
      <c r="A306" t="s">
        <v>146</v>
      </c>
      <c r="B306" t="s">
        <v>8</v>
      </c>
      <c r="C306">
        <v>20</v>
      </c>
      <c r="D306">
        <v>20</v>
      </c>
      <c r="E306">
        <v>18</v>
      </c>
      <c r="F306">
        <v>2</v>
      </c>
      <c r="G306">
        <v>0</v>
      </c>
    </row>
    <row r="307" spans="1:7" x14ac:dyDescent="0.25">
      <c r="A307" s="3" t="s">
        <v>146</v>
      </c>
      <c r="B307" s="3" t="s">
        <v>8</v>
      </c>
      <c r="C307" s="3">
        <v>4</v>
      </c>
      <c r="D307" s="3">
        <v>3</v>
      </c>
      <c r="E307" s="3">
        <v>3</v>
      </c>
      <c r="F307" s="3">
        <v>0</v>
      </c>
      <c r="G307" s="3">
        <v>0</v>
      </c>
    </row>
    <row r="308" spans="1:7" x14ac:dyDescent="0.25">
      <c r="A308" t="s">
        <v>146</v>
      </c>
      <c r="B308" t="s">
        <v>9</v>
      </c>
      <c r="C308">
        <v>12</v>
      </c>
      <c r="D308">
        <v>11</v>
      </c>
      <c r="E308">
        <v>10</v>
      </c>
      <c r="F308">
        <v>1</v>
      </c>
      <c r="G308">
        <v>0</v>
      </c>
    </row>
    <row r="309" spans="1:7" x14ac:dyDescent="0.25">
      <c r="A309" s="3" t="s">
        <v>146</v>
      </c>
      <c r="B309" s="3" t="s">
        <v>9</v>
      </c>
      <c r="C309" s="3">
        <v>1</v>
      </c>
      <c r="D309" s="3">
        <v>1</v>
      </c>
      <c r="E309" s="3">
        <v>1</v>
      </c>
      <c r="F309" s="3">
        <v>0</v>
      </c>
      <c r="G309" s="3">
        <v>0</v>
      </c>
    </row>
    <row r="310" spans="1:7" x14ac:dyDescent="0.25">
      <c r="A310" t="s">
        <v>146</v>
      </c>
      <c r="B310" t="s">
        <v>10</v>
      </c>
      <c r="C310">
        <v>59</v>
      </c>
      <c r="D310">
        <v>59</v>
      </c>
      <c r="E310">
        <v>57</v>
      </c>
      <c r="F310">
        <v>2</v>
      </c>
      <c r="G310">
        <v>0</v>
      </c>
    </row>
    <row r="311" spans="1:7" x14ac:dyDescent="0.25">
      <c r="A311" s="3" t="s">
        <v>146</v>
      </c>
      <c r="B311" s="3" t="s">
        <v>10</v>
      </c>
      <c r="C311" s="3">
        <v>32</v>
      </c>
      <c r="D311" s="3">
        <v>32</v>
      </c>
      <c r="E311" s="3">
        <v>31</v>
      </c>
      <c r="F311" s="3">
        <v>1</v>
      </c>
      <c r="G311" s="3">
        <v>0</v>
      </c>
    </row>
    <row r="312" spans="1:7" x14ac:dyDescent="0.25">
      <c r="A312" t="s">
        <v>146</v>
      </c>
      <c r="B312" t="s">
        <v>177</v>
      </c>
      <c r="C312">
        <v>41</v>
      </c>
      <c r="D312">
        <v>41</v>
      </c>
      <c r="E312">
        <v>40</v>
      </c>
      <c r="F312">
        <v>1</v>
      </c>
      <c r="G312">
        <v>0</v>
      </c>
    </row>
    <row r="313" spans="1:7" x14ac:dyDescent="0.25">
      <c r="A313" s="3" t="s">
        <v>146</v>
      </c>
      <c r="B313" s="3" t="s">
        <v>177</v>
      </c>
      <c r="C313" s="3">
        <v>12</v>
      </c>
      <c r="D313" s="3">
        <v>10</v>
      </c>
      <c r="E313" s="3">
        <v>10</v>
      </c>
      <c r="F313" s="3">
        <v>0</v>
      </c>
      <c r="G313" s="3">
        <v>0</v>
      </c>
    </row>
    <row r="314" spans="1:7" x14ac:dyDescent="0.25">
      <c r="A314" t="s">
        <v>62</v>
      </c>
      <c r="B314" t="s">
        <v>1</v>
      </c>
      <c r="C314">
        <v>1</v>
      </c>
      <c r="D314">
        <v>1</v>
      </c>
      <c r="E314">
        <v>0</v>
      </c>
      <c r="F314">
        <v>1</v>
      </c>
      <c r="G314">
        <v>0</v>
      </c>
    </row>
    <row r="315" spans="1:7" x14ac:dyDescent="0.25">
      <c r="A315" s="3" t="s">
        <v>62</v>
      </c>
      <c r="B315" s="3" t="s">
        <v>1</v>
      </c>
      <c r="C315" s="3">
        <v>1</v>
      </c>
      <c r="D315" s="3">
        <v>1</v>
      </c>
      <c r="E315" s="3">
        <v>0</v>
      </c>
      <c r="F315" s="3">
        <v>1</v>
      </c>
      <c r="G315" s="3">
        <v>0</v>
      </c>
    </row>
    <row r="316" spans="1:7" x14ac:dyDescent="0.25">
      <c r="A316" t="s">
        <v>62</v>
      </c>
      <c r="B316" t="s">
        <v>2</v>
      </c>
      <c r="C316">
        <v>3</v>
      </c>
      <c r="D316">
        <v>3</v>
      </c>
      <c r="E316">
        <v>3</v>
      </c>
      <c r="F316">
        <v>0</v>
      </c>
      <c r="G316">
        <v>0</v>
      </c>
    </row>
    <row r="317" spans="1:7" x14ac:dyDescent="0.25">
      <c r="A317" s="3" t="s">
        <v>62</v>
      </c>
      <c r="B317" s="3" t="s">
        <v>2</v>
      </c>
      <c r="C317" s="3">
        <v>1</v>
      </c>
      <c r="D317" s="3">
        <v>1</v>
      </c>
      <c r="E317" s="3">
        <v>1</v>
      </c>
      <c r="F317" s="3">
        <v>0</v>
      </c>
      <c r="G317" s="3">
        <v>0</v>
      </c>
    </row>
    <row r="318" spans="1:7" x14ac:dyDescent="0.25">
      <c r="A318" t="s">
        <v>62</v>
      </c>
      <c r="B318" t="s">
        <v>4</v>
      </c>
      <c r="C318">
        <v>7</v>
      </c>
      <c r="D318">
        <v>0</v>
      </c>
      <c r="E318">
        <v>0</v>
      </c>
      <c r="F318">
        <v>0</v>
      </c>
      <c r="G318">
        <v>0</v>
      </c>
    </row>
    <row r="319" spans="1:7" x14ac:dyDescent="0.25">
      <c r="A319" s="3" t="s">
        <v>62</v>
      </c>
      <c r="B319" s="3" t="s">
        <v>4</v>
      </c>
      <c r="C319" s="3">
        <v>1</v>
      </c>
      <c r="D319" s="3">
        <v>0</v>
      </c>
      <c r="E319" s="3">
        <v>0</v>
      </c>
      <c r="F319" s="3">
        <v>0</v>
      </c>
      <c r="G319" s="3">
        <v>0</v>
      </c>
    </row>
    <row r="320" spans="1:7" x14ac:dyDescent="0.25">
      <c r="A320" t="s">
        <v>62</v>
      </c>
      <c r="B320" t="s">
        <v>5</v>
      </c>
      <c r="C320">
        <v>34</v>
      </c>
      <c r="D320">
        <v>31</v>
      </c>
      <c r="E320">
        <f>7+10</f>
        <v>17</v>
      </c>
      <c r="F320">
        <f>24-21+11</f>
        <v>14</v>
      </c>
      <c r="G320">
        <v>0</v>
      </c>
    </row>
    <row r="321" spans="1:7" x14ac:dyDescent="0.25">
      <c r="A321" s="3" t="s">
        <v>62</v>
      </c>
      <c r="B321" s="3" t="s">
        <v>5</v>
      </c>
      <c r="C321" s="3">
        <v>34</v>
      </c>
      <c r="D321" s="3">
        <v>34</v>
      </c>
      <c r="E321" s="3">
        <v>17</v>
      </c>
      <c r="F321" s="3">
        <v>17</v>
      </c>
      <c r="G321" s="3">
        <v>0</v>
      </c>
    </row>
    <row r="322" spans="1:7" x14ac:dyDescent="0.25">
      <c r="A322" t="s">
        <v>62</v>
      </c>
      <c r="B322" t="s">
        <v>185</v>
      </c>
      <c r="C322">
        <f>16+9</f>
        <v>25</v>
      </c>
      <c r="D322">
        <f>16+9</f>
        <v>25</v>
      </c>
      <c r="E322">
        <f>2+2</f>
        <v>4</v>
      </c>
      <c r="F322">
        <f>14+7</f>
        <v>21</v>
      </c>
      <c r="G322">
        <v>0</v>
      </c>
    </row>
    <row r="323" spans="1:7" x14ac:dyDescent="0.25">
      <c r="A323" s="3" t="s">
        <v>62</v>
      </c>
      <c r="B323" s="3" t="s">
        <v>185</v>
      </c>
      <c r="C323" s="3">
        <v>29</v>
      </c>
      <c r="D323" s="3">
        <v>29</v>
      </c>
      <c r="E323" s="3">
        <f>9+8</f>
        <v>17</v>
      </c>
      <c r="F323" s="3">
        <f>20-15+7</f>
        <v>12</v>
      </c>
      <c r="G323" s="3">
        <v>0</v>
      </c>
    </row>
    <row r="324" spans="1:7" x14ac:dyDescent="0.25">
      <c r="A324" t="s">
        <v>62</v>
      </c>
      <c r="B324" t="s">
        <v>186</v>
      </c>
      <c r="C324">
        <v>11</v>
      </c>
      <c r="D324">
        <v>11</v>
      </c>
      <c r="E324">
        <v>0</v>
      </c>
      <c r="F324">
        <v>11</v>
      </c>
      <c r="G324">
        <v>0</v>
      </c>
    </row>
    <row r="325" spans="1:7" x14ac:dyDescent="0.25">
      <c r="A325" s="3" t="s">
        <v>62</v>
      </c>
      <c r="B325" s="3" t="s">
        <v>186</v>
      </c>
      <c r="C325" s="3">
        <v>8</v>
      </c>
      <c r="D325" s="3">
        <v>8</v>
      </c>
      <c r="E325" s="3">
        <v>0</v>
      </c>
      <c r="F325" s="3">
        <v>8</v>
      </c>
      <c r="G325" s="3">
        <v>0</v>
      </c>
    </row>
    <row r="326" spans="1:7" x14ac:dyDescent="0.25">
      <c r="A326" t="s">
        <v>62</v>
      </c>
      <c r="B326" t="s">
        <v>187</v>
      </c>
      <c r="C326">
        <f>253+16</f>
        <v>269</v>
      </c>
      <c r="D326">
        <v>265</v>
      </c>
      <c r="E326">
        <f>53+54</f>
        <v>107</v>
      </c>
      <c r="F326">
        <f>213-113+58</f>
        <v>158</v>
      </c>
      <c r="G326">
        <v>0</v>
      </c>
    </row>
    <row r="327" spans="1:7" x14ac:dyDescent="0.25">
      <c r="A327" s="3" t="s">
        <v>62</v>
      </c>
      <c r="B327" s="3" t="s">
        <v>187</v>
      </c>
      <c r="C327" s="3">
        <v>170</v>
      </c>
      <c r="D327" s="3">
        <v>161</v>
      </c>
      <c r="E327" s="3">
        <v>59</v>
      </c>
      <c r="F327" s="3">
        <v>102</v>
      </c>
      <c r="G327" s="3">
        <v>0</v>
      </c>
    </row>
    <row r="328" spans="1:7" x14ac:dyDescent="0.25">
      <c r="A328" t="s">
        <v>62</v>
      </c>
      <c r="B328" t="s">
        <v>6</v>
      </c>
      <c r="C328">
        <v>75</v>
      </c>
      <c r="D328">
        <v>75</v>
      </c>
      <c r="E328">
        <v>72</v>
      </c>
      <c r="F328">
        <v>3</v>
      </c>
      <c r="G328">
        <v>0</v>
      </c>
    </row>
    <row r="329" spans="1:7" x14ac:dyDescent="0.25">
      <c r="A329" s="3" t="s">
        <v>62</v>
      </c>
      <c r="B329" s="3" t="s">
        <v>6</v>
      </c>
      <c r="C329" s="3">
        <v>49</v>
      </c>
      <c r="D329" s="3">
        <v>49</v>
      </c>
      <c r="E329" s="3">
        <v>45</v>
      </c>
      <c r="F329" s="3">
        <v>4</v>
      </c>
      <c r="G329" s="3">
        <v>0</v>
      </c>
    </row>
    <row r="330" spans="1:7" x14ac:dyDescent="0.25">
      <c r="A330" t="s">
        <v>62</v>
      </c>
      <c r="B330" t="s">
        <v>7</v>
      </c>
      <c r="C330">
        <v>14</v>
      </c>
      <c r="D330">
        <v>10</v>
      </c>
      <c r="E330">
        <v>7</v>
      </c>
      <c r="F330">
        <v>3</v>
      </c>
      <c r="G330">
        <v>1</v>
      </c>
    </row>
    <row r="331" spans="1:7" x14ac:dyDescent="0.25">
      <c r="A331" s="3" t="s">
        <v>62</v>
      </c>
      <c r="B331" s="3" t="s">
        <v>7</v>
      </c>
      <c r="C331" s="3">
        <v>2</v>
      </c>
      <c r="D331" s="3">
        <v>2</v>
      </c>
      <c r="E331" s="3">
        <v>1</v>
      </c>
      <c r="F331" s="3">
        <v>1</v>
      </c>
      <c r="G331" s="3">
        <v>0</v>
      </c>
    </row>
    <row r="332" spans="1:7" x14ac:dyDescent="0.25">
      <c r="A332" s="3" t="s">
        <v>62</v>
      </c>
      <c r="B332" s="3" t="s">
        <v>8</v>
      </c>
      <c r="C332" s="3">
        <v>1</v>
      </c>
      <c r="D332" s="3">
        <v>1</v>
      </c>
      <c r="E332" s="3">
        <v>0</v>
      </c>
      <c r="F332" s="3">
        <v>1</v>
      </c>
      <c r="G332" s="3">
        <v>0</v>
      </c>
    </row>
    <row r="333" spans="1:7" x14ac:dyDescent="0.25">
      <c r="A333" t="s">
        <v>62</v>
      </c>
      <c r="B333" t="s">
        <v>9</v>
      </c>
      <c r="C333">
        <v>2</v>
      </c>
      <c r="D333">
        <v>1</v>
      </c>
      <c r="E333">
        <v>1</v>
      </c>
      <c r="F333">
        <v>0</v>
      </c>
      <c r="G333">
        <v>0</v>
      </c>
    </row>
    <row r="334" spans="1:7" x14ac:dyDescent="0.25">
      <c r="A334" t="s">
        <v>62</v>
      </c>
      <c r="B334" t="s">
        <v>10</v>
      </c>
      <c r="C334">
        <v>129</v>
      </c>
      <c r="D334">
        <v>129</v>
      </c>
      <c r="E334">
        <v>104</v>
      </c>
      <c r="F334">
        <v>25</v>
      </c>
      <c r="G334">
        <v>0</v>
      </c>
    </row>
    <row r="335" spans="1:7" x14ac:dyDescent="0.25">
      <c r="A335" s="3" t="s">
        <v>62</v>
      </c>
      <c r="B335" s="3" t="s">
        <v>10</v>
      </c>
      <c r="C335" s="3">
        <v>64</v>
      </c>
      <c r="D335" s="3">
        <v>64</v>
      </c>
      <c r="E335" s="3">
        <v>47</v>
      </c>
      <c r="F335" s="3">
        <v>17</v>
      </c>
      <c r="G335" s="3">
        <v>0</v>
      </c>
    </row>
    <row r="336" spans="1:7" x14ac:dyDescent="0.25">
      <c r="A336" t="s">
        <v>62</v>
      </c>
      <c r="B336" t="s">
        <v>177</v>
      </c>
      <c r="C336">
        <v>23</v>
      </c>
      <c r="D336">
        <v>23</v>
      </c>
      <c r="E336">
        <v>5</v>
      </c>
      <c r="F336">
        <v>18</v>
      </c>
      <c r="G336">
        <v>0</v>
      </c>
    </row>
    <row r="337" spans="1:7" x14ac:dyDescent="0.25">
      <c r="A337" s="3" t="s">
        <v>62</v>
      </c>
      <c r="B337" s="3" t="s">
        <v>177</v>
      </c>
      <c r="C337" s="3">
        <v>13</v>
      </c>
      <c r="D337" s="3">
        <v>13</v>
      </c>
      <c r="E337" s="3">
        <v>11</v>
      </c>
      <c r="F337" s="3">
        <v>2</v>
      </c>
      <c r="G337" s="3">
        <v>0</v>
      </c>
    </row>
    <row r="338" spans="1:7" x14ac:dyDescent="0.25">
      <c r="A338" t="s">
        <v>79</v>
      </c>
      <c r="B338" t="s">
        <v>2</v>
      </c>
      <c r="C338">
        <v>5</v>
      </c>
      <c r="D338">
        <v>4</v>
      </c>
      <c r="E338">
        <v>4</v>
      </c>
      <c r="F338">
        <v>0</v>
      </c>
      <c r="G338">
        <v>0</v>
      </c>
    </row>
    <row r="339" spans="1:7" x14ac:dyDescent="0.25">
      <c r="A339" s="3" t="s">
        <v>79</v>
      </c>
      <c r="B339" s="3" t="s">
        <v>2</v>
      </c>
      <c r="C339" s="3">
        <v>3</v>
      </c>
      <c r="D339" s="3">
        <v>2</v>
      </c>
      <c r="E339" s="3">
        <v>2</v>
      </c>
      <c r="F339" s="3">
        <v>0</v>
      </c>
      <c r="G339" s="3">
        <v>0</v>
      </c>
    </row>
    <row r="340" spans="1:7" x14ac:dyDescent="0.25">
      <c r="A340" t="s">
        <v>79</v>
      </c>
      <c r="B340" t="s">
        <v>4</v>
      </c>
      <c r="C340">
        <v>1</v>
      </c>
      <c r="D340">
        <v>0</v>
      </c>
      <c r="E340">
        <v>0</v>
      </c>
      <c r="F340">
        <v>0</v>
      </c>
      <c r="G340">
        <v>0</v>
      </c>
    </row>
    <row r="341" spans="1:7" x14ac:dyDescent="0.25">
      <c r="A341" t="s">
        <v>79</v>
      </c>
      <c r="B341" t="s">
        <v>5</v>
      </c>
      <c r="C341">
        <v>47</v>
      </c>
      <c r="D341">
        <v>46</v>
      </c>
      <c r="E341">
        <f>34+8</f>
        <v>42</v>
      </c>
      <c r="F341">
        <f>12-9+1</f>
        <v>4</v>
      </c>
      <c r="G341">
        <v>0</v>
      </c>
    </row>
    <row r="342" spans="1:7" x14ac:dyDescent="0.25">
      <c r="A342" s="3" t="s">
        <v>79</v>
      </c>
      <c r="B342" s="3" t="s">
        <v>5</v>
      </c>
      <c r="C342" s="3">
        <v>24</v>
      </c>
      <c r="D342" s="3">
        <v>24</v>
      </c>
      <c r="E342" s="3">
        <v>19</v>
      </c>
      <c r="F342" s="3">
        <v>5</v>
      </c>
      <c r="G342" s="3">
        <v>0</v>
      </c>
    </row>
    <row r="343" spans="1:7" x14ac:dyDescent="0.25">
      <c r="A343" t="s">
        <v>79</v>
      </c>
      <c r="B343" t="s">
        <v>185</v>
      </c>
      <c r="C343">
        <f>49+5</f>
        <v>54</v>
      </c>
      <c r="D343">
        <f>45+5</f>
        <v>50</v>
      </c>
      <c r="E343">
        <f>24+16</f>
        <v>40</v>
      </c>
      <c r="F343">
        <f>26-26+10</f>
        <v>10</v>
      </c>
      <c r="G343">
        <v>0</v>
      </c>
    </row>
    <row r="344" spans="1:7" x14ac:dyDescent="0.25">
      <c r="A344" s="3" t="s">
        <v>79</v>
      </c>
      <c r="B344" s="3" t="s">
        <v>185</v>
      </c>
      <c r="C344" s="3">
        <v>24</v>
      </c>
      <c r="D344" s="3">
        <v>21</v>
      </c>
      <c r="E344" s="3">
        <v>12</v>
      </c>
      <c r="F344" s="3">
        <v>9</v>
      </c>
      <c r="G344" s="3">
        <v>1</v>
      </c>
    </row>
    <row r="345" spans="1:7" x14ac:dyDescent="0.25">
      <c r="A345" t="s">
        <v>79</v>
      </c>
      <c r="B345" t="s">
        <v>186</v>
      </c>
      <c r="C345">
        <f>81+7</f>
        <v>88</v>
      </c>
      <c r="D345">
        <v>81</v>
      </c>
      <c r="E345">
        <f>49+16</f>
        <v>65</v>
      </c>
      <c r="F345">
        <f>34-21+3</f>
        <v>16</v>
      </c>
      <c r="G345">
        <v>0</v>
      </c>
    </row>
    <row r="346" spans="1:7" x14ac:dyDescent="0.25">
      <c r="A346" s="3" t="s">
        <v>79</v>
      </c>
      <c r="B346" s="3" t="s">
        <v>186</v>
      </c>
      <c r="C346" s="3">
        <v>42</v>
      </c>
      <c r="D346" s="3">
        <v>41</v>
      </c>
      <c r="E346" s="3">
        <v>32</v>
      </c>
      <c r="F346" s="3">
        <v>9</v>
      </c>
      <c r="G346" s="3">
        <v>0</v>
      </c>
    </row>
    <row r="347" spans="1:7" x14ac:dyDescent="0.25">
      <c r="A347" t="s">
        <v>79</v>
      </c>
      <c r="B347" t="s">
        <v>187</v>
      </c>
      <c r="C347">
        <v>180</v>
      </c>
      <c r="D347">
        <v>174</v>
      </c>
      <c r="E347">
        <f>141+21</f>
        <v>162</v>
      </c>
      <c r="F347">
        <f>33-26+5</f>
        <v>12</v>
      </c>
      <c r="G347">
        <v>0</v>
      </c>
    </row>
    <row r="348" spans="1:7" x14ac:dyDescent="0.25">
      <c r="A348" s="3" t="s">
        <v>79</v>
      </c>
      <c r="B348" s="3" t="s">
        <v>187</v>
      </c>
      <c r="C348" s="3">
        <v>88</v>
      </c>
      <c r="D348" s="3">
        <v>84</v>
      </c>
      <c r="E348" s="3">
        <v>66</v>
      </c>
      <c r="F348" s="3">
        <v>18</v>
      </c>
      <c r="G348" s="3">
        <v>3</v>
      </c>
    </row>
    <row r="349" spans="1:7" x14ac:dyDescent="0.25">
      <c r="A349" t="s">
        <v>79</v>
      </c>
      <c r="B349" t="s">
        <v>6</v>
      </c>
      <c r="C349">
        <v>70</v>
      </c>
      <c r="D349">
        <v>69</v>
      </c>
      <c r="E349">
        <v>67</v>
      </c>
      <c r="F349">
        <v>2</v>
      </c>
      <c r="G349">
        <v>0</v>
      </c>
    </row>
    <row r="350" spans="1:7" x14ac:dyDescent="0.25">
      <c r="A350" s="3" t="s">
        <v>79</v>
      </c>
      <c r="B350" s="3" t="s">
        <v>6</v>
      </c>
      <c r="C350" s="3">
        <v>23</v>
      </c>
      <c r="D350" s="3">
        <v>23</v>
      </c>
      <c r="E350" s="3">
        <v>22</v>
      </c>
      <c r="F350" s="3">
        <v>1</v>
      </c>
      <c r="G350" s="3">
        <v>0</v>
      </c>
    </row>
    <row r="351" spans="1:7" x14ac:dyDescent="0.25">
      <c r="A351" t="s">
        <v>79</v>
      </c>
      <c r="B351" t="s">
        <v>7</v>
      </c>
      <c r="C351">
        <v>27</v>
      </c>
      <c r="D351">
        <v>20</v>
      </c>
      <c r="E351">
        <v>18</v>
      </c>
      <c r="F351">
        <v>2</v>
      </c>
      <c r="G351">
        <v>2</v>
      </c>
    </row>
    <row r="352" spans="1:7" x14ac:dyDescent="0.25">
      <c r="A352" s="3" t="s">
        <v>79</v>
      </c>
      <c r="B352" s="3" t="s">
        <v>7</v>
      </c>
      <c r="C352" s="3">
        <v>6</v>
      </c>
      <c r="D352" s="3">
        <v>5</v>
      </c>
      <c r="E352" s="3">
        <v>5</v>
      </c>
      <c r="F352" s="3">
        <v>0</v>
      </c>
      <c r="G352" s="3">
        <v>0</v>
      </c>
    </row>
    <row r="353" spans="1:7" x14ac:dyDescent="0.25">
      <c r="A353" t="s">
        <v>79</v>
      </c>
      <c r="B353" t="s">
        <v>8</v>
      </c>
      <c r="C353">
        <v>31</v>
      </c>
      <c r="D353">
        <v>30</v>
      </c>
      <c r="E353">
        <v>23</v>
      </c>
      <c r="F353">
        <v>7</v>
      </c>
      <c r="G353">
        <v>0</v>
      </c>
    </row>
    <row r="354" spans="1:7" x14ac:dyDescent="0.25">
      <c r="A354" s="3" t="s">
        <v>79</v>
      </c>
      <c r="B354" s="3" t="s">
        <v>8</v>
      </c>
      <c r="C354" s="3">
        <v>11</v>
      </c>
      <c r="D354" s="3">
        <v>11</v>
      </c>
      <c r="E354" s="3">
        <v>6</v>
      </c>
      <c r="F354" s="3">
        <v>5</v>
      </c>
      <c r="G354" s="3">
        <v>0</v>
      </c>
    </row>
    <row r="355" spans="1:7" x14ac:dyDescent="0.25">
      <c r="A355" t="s">
        <v>79</v>
      </c>
      <c r="B355" t="s">
        <v>9</v>
      </c>
      <c r="C355">
        <v>9</v>
      </c>
      <c r="D355">
        <v>9</v>
      </c>
      <c r="E355">
        <v>9</v>
      </c>
      <c r="F355">
        <v>0</v>
      </c>
      <c r="G355">
        <v>0</v>
      </c>
    </row>
    <row r="356" spans="1:7" x14ac:dyDescent="0.25">
      <c r="A356" s="3" t="s">
        <v>79</v>
      </c>
      <c r="B356" s="3" t="s">
        <v>9</v>
      </c>
      <c r="C356" s="3">
        <v>1</v>
      </c>
      <c r="D356" s="3">
        <v>1</v>
      </c>
      <c r="E356" s="3">
        <v>1</v>
      </c>
      <c r="F356" s="3">
        <v>0</v>
      </c>
      <c r="G356" s="3">
        <v>0</v>
      </c>
    </row>
    <row r="357" spans="1:7" x14ac:dyDescent="0.25">
      <c r="A357" t="s">
        <v>79</v>
      </c>
      <c r="B357" t="s">
        <v>10</v>
      </c>
      <c r="C357">
        <v>56</v>
      </c>
      <c r="D357">
        <v>56</v>
      </c>
      <c r="E357">
        <v>49</v>
      </c>
      <c r="F357">
        <v>7</v>
      </c>
      <c r="G357">
        <v>0</v>
      </c>
    </row>
    <row r="358" spans="1:7" x14ac:dyDescent="0.25">
      <c r="A358" s="3" t="s">
        <v>79</v>
      </c>
      <c r="B358" s="3" t="s">
        <v>10</v>
      </c>
      <c r="C358" s="3">
        <v>21</v>
      </c>
      <c r="D358" s="3">
        <v>21</v>
      </c>
      <c r="E358" s="3">
        <v>19</v>
      </c>
      <c r="F358" s="3">
        <v>2</v>
      </c>
      <c r="G358" s="3">
        <v>0</v>
      </c>
    </row>
    <row r="359" spans="1:7" x14ac:dyDescent="0.25">
      <c r="A359" t="s">
        <v>79</v>
      </c>
      <c r="B359" t="s">
        <v>177</v>
      </c>
      <c r="C359">
        <v>42</v>
      </c>
      <c r="D359">
        <v>41</v>
      </c>
      <c r="E359">
        <v>39</v>
      </c>
      <c r="F359">
        <v>2</v>
      </c>
      <c r="G359">
        <v>0</v>
      </c>
    </row>
    <row r="360" spans="1:7" x14ac:dyDescent="0.25">
      <c r="A360" s="3" t="s">
        <v>79</v>
      </c>
      <c r="B360" s="3" t="s">
        <v>177</v>
      </c>
      <c r="C360" s="3">
        <v>9</v>
      </c>
      <c r="D360" s="3">
        <v>9</v>
      </c>
      <c r="E360" s="3">
        <v>5</v>
      </c>
      <c r="F360" s="3">
        <v>4</v>
      </c>
      <c r="G360" s="3">
        <v>0</v>
      </c>
    </row>
    <row r="361" spans="1:7" x14ac:dyDescent="0.25">
      <c r="A361" t="s">
        <v>119</v>
      </c>
      <c r="B361" t="s">
        <v>2</v>
      </c>
      <c r="C361">
        <v>2</v>
      </c>
      <c r="D361">
        <v>2</v>
      </c>
      <c r="E361">
        <v>2</v>
      </c>
      <c r="F361">
        <v>0</v>
      </c>
      <c r="G361">
        <v>0</v>
      </c>
    </row>
    <row r="362" spans="1:7" x14ac:dyDescent="0.25">
      <c r="A362" s="3" t="s">
        <v>119</v>
      </c>
      <c r="B362" s="3" t="s">
        <v>4</v>
      </c>
      <c r="C362" s="3">
        <v>1</v>
      </c>
      <c r="D362" s="3">
        <v>0</v>
      </c>
      <c r="E362" s="3">
        <v>0</v>
      </c>
      <c r="F362" s="3">
        <v>0</v>
      </c>
      <c r="G362" s="3">
        <v>0</v>
      </c>
    </row>
    <row r="363" spans="1:7" x14ac:dyDescent="0.25">
      <c r="A363" t="s">
        <v>119</v>
      </c>
      <c r="B363" t="s">
        <v>5</v>
      </c>
      <c r="C363">
        <v>77</v>
      </c>
      <c r="D363">
        <v>69</v>
      </c>
      <c r="E363">
        <v>19</v>
      </c>
      <c r="F363">
        <v>50</v>
      </c>
      <c r="G363">
        <v>0</v>
      </c>
    </row>
    <row r="364" spans="1:7" x14ac:dyDescent="0.25">
      <c r="A364" s="3" t="s">
        <v>119</v>
      </c>
      <c r="B364" s="3" t="s">
        <v>5</v>
      </c>
      <c r="C364" s="3">
        <v>68</v>
      </c>
      <c r="D364" s="3">
        <v>58</v>
      </c>
      <c r="E364" s="3">
        <f>24+14</f>
        <v>38</v>
      </c>
      <c r="F364" s="3">
        <f>36-23+7</f>
        <v>20</v>
      </c>
      <c r="G364" s="3">
        <v>0</v>
      </c>
    </row>
    <row r="365" spans="1:7" x14ac:dyDescent="0.25">
      <c r="A365" t="s">
        <v>119</v>
      </c>
      <c r="B365" t="s">
        <v>185</v>
      </c>
      <c r="C365">
        <f>52+7</f>
        <v>59</v>
      </c>
      <c r="D365">
        <f>49+6</f>
        <v>55</v>
      </c>
      <c r="E365">
        <f>27+3</f>
        <v>30</v>
      </c>
      <c r="F365">
        <f>22+3</f>
        <v>25</v>
      </c>
      <c r="G365">
        <v>0</v>
      </c>
    </row>
    <row r="366" spans="1:7" x14ac:dyDescent="0.25">
      <c r="A366" s="3" t="s">
        <v>119</v>
      </c>
      <c r="B366" s="3" t="s">
        <v>185</v>
      </c>
      <c r="C366" s="3">
        <v>32</v>
      </c>
      <c r="D366" s="3">
        <v>25</v>
      </c>
      <c r="E366" s="3">
        <f>14+6</f>
        <v>20</v>
      </c>
      <c r="F366" s="3">
        <f>15-14+4</f>
        <v>5</v>
      </c>
      <c r="G366" s="3">
        <v>1</v>
      </c>
    </row>
    <row r="367" spans="1:7" x14ac:dyDescent="0.25">
      <c r="A367" t="s">
        <v>119</v>
      </c>
      <c r="B367" t="s">
        <v>186</v>
      </c>
      <c r="C367">
        <v>14</v>
      </c>
      <c r="D367">
        <v>14</v>
      </c>
      <c r="E367">
        <v>0</v>
      </c>
      <c r="F367">
        <v>14</v>
      </c>
      <c r="G367">
        <v>0</v>
      </c>
    </row>
    <row r="368" spans="1:7" x14ac:dyDescent="0.25">
      <c r="A368" s="3" t="s">
        <v>119</v>
      </c>
      <c r="B368" s="3" t="s">
        <v>186</v>
      </c>
      <c r="C368" s="3">
        <v>8</v>
      </c>
      <c r="D368" s="3">
        <v>7</v>
      </c>
      <c r="E368" s="3">
        <v>0</v>
      </c>
      <c r="F368" s="3">
        <v>7</v>
      </c>
      <c r="G368" s="3">
        <v>1</v>
      </c>
    </row>
    <row r="369" spans="1:7" x14ac:dyDescent="0.25">
      <c r="A369" t="s">
        <v>119</v>
      </c>
      <c r="B369" t="s">
        <v>189</v>
      </c>
      <c r="C369">
        <v>1</v>
      </c>
      <c r="D369">
        <v>1</v>
      </c>
      <c r="E369">
        <v>0</v>
      </c>
      <c r="F369">
        <v>1</v>
      </c>
      <c r="G369">
        <v>0</v>
      </c>
    </row>
    <row r="370" spans="1:7" x14ac:dyDescent="0.25">
      <c r="A370" t="s">
        <v>119</v>
      </c>
      <c r="B370" t="s">
        <v>187</v>
      </c>
      <c r="C370">
        <v>43</v>
      </c>
      <c r="D370">
        <v>37</v>
      </c>
      <c r="E370">
        <f>11+4</f>
        <v>15</v>
      </c>
      <c r="F370">
        <f>28-9+3</f>
        <v>22</v>
      </c>
      <c r="G370">
        <v>0</v>
      </c>
    </row>
    <row r="371" spans="1:7" x14ac:dyDescent="0.25">
      <c r="A371" s="3" t="s">
        <v>119</v>
      </c>
      <c r="B371" s="3" t="s">
        <v>187</v>
      </c>
      <c r="C371" s="3">
        <v>18</v>
      </c>
      <c r="D371" s="3">
        <v>16</v>
      </c>
      <c r="E371" s="3">
        <v>8</v>
      </c>
      <c r="F371" s="3">
        <v>8</v>
      </c>
      <c r="G371" s="3">
        <v>0</v>
      </c>
    </row>
    <row r="372" spans="1:7" x14ac:dyDescent="0.25">
      <c r="A372" t="s">
        <v>119</v>
      </c>
      <c r="B372" t="s">
        <v>6</v>
      </c>
      <c r="C372">
        <v>98</v>
      </c>
      <c r="D372">
        <v>97</v>
      </c>
      <c r="E372">
        <v>92</v>
      </c>
      <c r="F372">
        <v>5</v>
      </c>
      <c r="G372">
        <v>0</v>
      </c>
    </row>
    <row r="373" spans="1:7" x14ac:dyDescent="0.25">
      <c r="A373" s="3" t="s">
        <v>119</v>
      </c>
      <c r="B373" s="3" t="s">
        <v>6</v>
      </c>
      <c r="C373" s="3">
        <v>52</v>
      </c>
      <c r="D373" s="3">
        <v>50</v>
      </c>
      <c r="E373" s="3">
        <v>49</v>
      </c>
      <c r="F373" s="3">
        <v>1</v>
      </c>
      <c r="G373" s="3">
        <v>0</v>
      </c>
    </row>
    <row r="374" spans="1:7" x14ac:dyDescent="0.25">
      <c r="A374" t="s">
        <v>119</v>
      </c>
      <c r="B374" t="s">
        <v>7</v>
      </c>
      <c r="C374">
        <v>27</v>
      </c>
      <c r="D374">
        <v>19</v>
      </c>
      <c r="E374">
        <v>17</v>
      </c>
      <c r="F374">
        <v>2</v>
      </c>
      <c r="G374">
        <v>0</v>
      </c>
    </row>
    <row r="375" spans="1:7" x14ac:dyDescent="0.25">
      <c r="A375" s="3" t="s">
        <v>119</v>
      </c>
      <c r="B375" s="3" t="s">
        <v>7</v>
      </c>
      <c r="C375" s="3">
        <v>3</v>
      </c>
      <c r="D375" s="3">
        <v>3</v>
      </c>
      <c r="E375" s="3">
        <v>2</v>
      </c>
      <c r="F375" s="3">
        <v>1</v>
      </c>
      <c r="G375" s="3">
        <v>0</v>
      </c>
    </row>
    <row r="376" spans="1:7" x14ac:dyDescent="0.25">
      <c r="A376" t="s">
        <v>119</v>
      </c>
      <c r="B376" t="s">
        <v>8</v>
      </c>
      <c r="C376">
        <v>34</v>
      </c>
      <c r="D376">
        <v>30</v>
      </c>
      <c r="E376">
        <v>25</v>
      </c>
      <c r="F376">
        <v>5</v>
      </c>
      <c r="G376">
        <v>0</v>
      </c>
    </row>
    <row r="377" spans="1:7" x14ac:dyDescent="0.25">
      <c r="A377" s="3" t="s">
        <v>119</v>
      </c>
      <c r="B377" s="3" t="s">
        <v>8</v>
      </c>
      <c r="C377" s="3">
        <v>10</v>
      </c>
      <c r="D377" s="3">
        <v>7</v>
      </c>
      <c r="E377" s="3">
        <v>1</v>
      </c>
      <c r="F377" s="3">
        <v>6</v>
      </c>
      <c r="G377" s="3">
        <v>0</v>
      </c>
    </row>
    <row r="378" spans="1:7" x14ac:dyDescent="0.25">
      <c r="A378" t="s">
        <v>119</v>
      </c>
      <c r="B378" t="s">
        <v>9</v>
      </c>
      <c r="C378">
        <v>18</v>
      </c>
      <c r="D378">
        <v>8</v>
      </c>
      <c r="E378">
        <v>8</v>
      </c>
      <c r="F378">
        <v>0</v>
      </c>
      <c r="G378">
        <v>0</v>
      </c>
    </row>
    <row r="379" spans="1:7" x14ac:dyDescent="0.25">
      <c r="A379" s="3" t="s">
        <v>119</v>
      </c>
      <c r="B379" s="3" t="s">
        <v>9</v>
      </c>
      <c r="C379" s="3">
        <v>1</v>
      </c>
      <c r="D379" s="3">
        <v>1</v>
      </c>
      <c r="E379" s="3">
        <v>1</v>
      </c>
      <c r="F379" s="3">
        <v>0</v>
      </c>
      <c r="G379" s="3">
        <v>0</v>
      </c>
    </row>
    <row r="380" spans="1:7" x14ac:dyDescent="0.25">
      <c r="A380" t="s">
        <v>119</v>
      </c>
      <c r="B380" t="s">
        <v>10</v>
      </c>
      <c r="C380">
        <v>52</v>
      </c>
      <c r="D380">
        <v>52</v>
      </c>
      <c r="E380">
        <v>41</v>
      </c>
      <c r="F380">
        <v>11</v>
      </c>
      <c r="G380">
        <v>0</v>
      </c>
    </row>
    <row r="381" spans="1:7" x14ac:dyDescent="0.25">
      <c r="A381" s="3" t="s">
        <v>119</v>
      </c>
      <c r="B381" s="3" t="s">
        <v>10</v>
      </c>
      <c r="C381" s="3">
        <v>15</v>
      </c>
      <c r="D381" s="3">
        <v>15</v>
      </c>
      <c r="E381" s="3">
        <v>11</v>
      </c>
      <c r="F381" s="3">
        <v>4</v>
      </c>
      <c r="G381" s="3">
        <v>0</v>
      </c>
    </row>
    <row r="382" spans="1:7" x14ac:dyDescent="0.25">
      <c r="A382" t="s">
        <v>119</v>
      </c>
      <c r="B382" t="s">
        <v>177</v>
      </c>
      <c r="C382">
        <v>36</v>
      </c>
      <c r="D382">
        <v>36</v>
      </c>
      <c r="E382">
        <v>13</v>
      </c>
      <c r="F382">
        <v>23</v>
      </c>
      <c r="G382">
        <v>0</v>
      </c>
    </row>
    <row r="383" spans="1:7" x14ac:dyDescent="0.25">
      <c r="A383" s="3" t="s">
        <v>119</v>
      </c>
      <c r="B383" s="3" t="s">
        <v>177</v>
      </c>
      <c r="C383" s="3">
        <v>16</v>
      </c>
      <c r="D383" s="3">
        <v>16</v>
      </c>
      <c r="E383" s="3">
        <v>14</v>
      </c>
      <c r="F383" s="3">
        <v>2</v>
      </c>
      <c r="G383" s="3">
        <v>0</v>
      </c>
    </row>
    <row r="384" spans="1:7" x14ac:dyDescent="0.25">
      <c r="A384" t="s">
        <v>89</v>
      </c>
      <c r="B384" t="s">
        <v>2</v>
      </c>
      <c r="C384">
        <v>6</v>
      </c>
      <c r="D384">
        <v>6</v>
      </c>
      <c r="E384">
        <v>6</v>
      </c>
      <c r="F384">
        <v>0</v>
      </c>
      <c r="G384">
        <v>0</v>
      </c>
    </row>
    <row r="385" spans="1:7" x14ac:dyDescent="0.25">
      <c r="A385" s="3" t="s">
        <v>89</v>
      </c>
      <c r="B385" s="3" t="s">
        <v>2</v>
      </c>
      <c r="C385" s="3">
        <v>1</v>
      </c>
      <c r="D385" s="3">
        <v>1</v>
      </c>
      <c r="E385" s="3">
        <v>1</v>
      </c>
      <c r="F385" s="3">
        <v>0</v>
      </c>
      <c r="G385" s="3">
        <v>0</v>
      </c>
    </row>
    <row r="386" spans="1:7" x14ac:dyDescent="0.25">
      <c r="A386" t="s">
        <v>89</v>
      </c>
      <c r="B386" t="s">
        <v>5</v>
      </c>
      <c r="C386">
        <v>16</v>
      </c>
      <c r="D386">
        <v>16</v>
      </c>
      <c r="E386">
        <v>16</v>
      </c>
      <c r="F386">
        <v>0</v>
      </c>
      <c r="G386">
        <v>0</v>
      </c>
    </row>
    <row r="387" spans="1:7" x14ac:dyDescent="0.25">
      <c r="A387" s="3" t="s">
        <v>89</v>
      </c>
      <c r="B387" s="3" t="s">
        <v>5</v>
      </c>
      <c r="C387" s="3">
        <v>19</v>
      </c>
      <c r="D387" s="3">
        <v>19</v>
      </c>
      <c r="E387" s="3">
        <v>19</v>
      </c>
      <c r="F387" s="3">
        <v>0</v>
      </c>
      <c r="G387" s="3">
        <v>0</v>
      </c>
    </row>
    <row r="388" spans="1:7" x14ac:dyDescent="0.25">
      <c r="A388" t="s">
        <v>89</v>
      </c>
      <c r="B388" t="s">
        <v>185</v>
      </c>
      <c r="C388">
        <f>13+2</f>
        <v>15</v>
      </c>
      <c r="D388">
        <f>13+2</f>
        <v>15</v>
      </c>
      <c r="E388">
        <f>12+2</f>
        <v>14</v>
      </c>
      <c r="F388">
        <v>1</v>
      </c>
      <c r="G388">
        <v>0</v>
      </c>
    </row>
    <row r="389" spans="1:7" x14ac:dyDescent="0.25">
      <c r="A389" s="3" t="s">
        <v>89</v>
      </c>
      <c r="B389" s="3" t="s">
        <v>185</v>
      </c>
      <c r="C389" s="3">
        <v>8</v>
      </c>
      <c r="D389" s="3">
        <v>8</v>
      </c>
      <c r="E389" s="3">
        <v>8</v>
      </c>
      <c r="F389" s="3">
        <v>0</v>
      </c>
      <c r="G389" s="3">
        <v>0</v>
      </c>
    </row>
    <row r="390" spans="1:7" x14ac:dyDescent="0.25">
      <c r="A390" t="s">
        <v>89</v>
      </c>
      <c r="B390" t="s">
        <v>186</v>
      </c>
      <c r="C390">
        <v>30</v>
      </c>
      <c r="D390">
        <v>30</v>
      </c>
      <c r="E390">
        <f>27+2</f>
        <v>29</v>
      </c>
      <c r="F390">
        <f>3-3+1</f>
        <v>1</v>
      </c>
      <c r="G390">
        <v>0</v>
      </c>
    </row>
    <row r="391" spans="1:7" x14ac:dyDescent="0.25">
      <c r="A391" s="3" t="s">
        <v>89</v>
      </c>
      <c r="B391" s="3" t="s">
        <v>186</v>
      </c>
      <c r="C391" s="3">
        <v>26</v>
      </c>
      <c r="D391" s="3">
        <v>23</v>
      </c>
      <c r="E391" s="3">
        <v>22</v>
      </c>
      <c r="F391" s="3">
        <v>1</v>
      </c>
      <c r="G391" s="3">
        <v>1</v>
      </c>
    </row>
    <row r="392" spans="1:7" x14ac:dyDescent="0.25">
      <c r="A392" t="s">
        <v>89</v>
      </c>
      <c r="B392" t="s">
        <v>187</v>
      </c>
      <c r="C392">
        <f>47+3</f>
        <v>50</v>
      </c>
      <c r="D392">
        <f>47+3</f>
        <v>50</v>
      </c>
      <c r="E392">
        <f>44+5</f>
        <v>49</v>
      </c>
      <c r="F392">
        <f>6-6+1</f>
        <v>1</v>
      </c>
      <c r="G392">
        <v>0</v>
      </c>
    </row>
    <row r="393" spans="1:7" x14ac:dyDescent="0.25">
      <c r="A393" s="3" t="s">
        <v>89</v>
      </c>
      <c r="B393" s="3" t="s">
        <v>187</v>
      </c>
      <c r="C393" s="3">
        <v>53</v>
      </c>
      <c r="D393" s="3">
        <v>51</v>
      </c>
      <c r="E393" s="3">
        <v>47</v>
      </c>
      <c r="F393" s="3">
        <v>4</v>
      </c>
      <c r="G393" s="3">
        <v>0</v>
      </c>
    </row>
    <row r="394" spans="1:7" x14ac:dyDescent="0.25">
      <c r="A394" t="s">
        <v>89</v>
      </c>
      <c r="B394" t="s">
        <v>6</v>
      </c>
      <c r="C394">
        <v>7</v>
      </c>
      <c r="D394">
        <v>7</v>
      </c>
      <c r="E394">
        <v>7</v>
      </c>
      <c r="F394">
        <v>0</v>
      </c>
      <c r="G394">
        <v>0</v>
      </c>
    </row>
    <row r="395" spans="1:7" x14ac:dyDescent="0.25">
      <c r="A395" s="3" t="s">
        <v>89</v>
      </c>
      <c r="B395" s="3" t="s">
        <v>6</v>
      </c>
      <c r="C395" s="3">
        <v>4</v>
      </c>
      <c r="D395" s="3">
        <v>4</v>
      </c>
      <c r="E395" s="3">
        <v>4</v>
      </c>
      <c r="F395" s="3">
        <v>0</v>
      </c>
      <c r="G395" s="3">
        <v>0</v>
      </c>
    </row>
    <row r="396" spans="1:7" x14ac:dyDescent="0.25">
      <c r="A396" t="s">
        <v>89</v>
      </c>
      <c r="B396" t="s">
        <v>7</v>
      </c>
      <c r="C396">
        <v>4</v>
      </c>
      <c r="D396">
        <v>4</v>
      </c>
      <c r="E396">
        <v>4</v>
      </c>
      <c r="F396">
        <v>0</v>
      </c>
      <c r="G396">
        <v>0</v>
      </c>
    </row>
    <row r="397" spans="1:7" x14ac:dyDescent="0.25">
      <c r="A397" s="3" t="s">
        <v>89</v>
      </c>
      <c r="B397" s="3" t="s">
        <v>7</v>
      </c>
      <c r="C397" s="3">
        <v>1</v>
      </c>
      <c r="D397" s="3">
        <v>1</v>
      </c>
      <c r="E397" s="3">
        <v>1</v>
      </c>
      <c r="F397" s="3">
        <v>0</v>
      </c>
      <c r="G397" s="3">
        <v>0</v>
      </c>
    </row>
    <row r="398" spans="1:7" x14ac:dyDescent="0.25">
      <c r="A398" t="s">
        <v>89</v>
      </c>
      <c r="B398" t="s">
        <v>8</v>
      </c>
      <c r="C398">
        <v>11</v>
      </c>
      <c r="D398">
        <v>10</v>
      </c>
      <c r="E398">
        <v>10</v>
      </c>
      <c r="F398">
        <v>0</v>
      </c>
      <c r="G398">
        <v>0</v>
      </c>
    </row>
    <row r="399" spans="1:7" x14ac:dyDescent="0.25">
      <c r="A399" s="3" t="s">
        <v>89</v>
      </c>
      <c r="B399" s="3" t="s">
        <v>8</v>
      </c>
      <c r="C399" s="3">
        <v>4</v>
      </c>
      <c r="D399" s="3">
        <v>4</v>
      </c>
      <c r="E399" s="3">
        <v>4</v>
      </c>
      <c r="F399" s="3">
        <v>0</v>
      </c>
      <c r="G399" s="3">
        <v>0</v>
      </c>
    </row>
    <row r="400" spans="1:7" x14ac:dyDescent="0.25">
      <c r="A400" t="s">
        <v>89</v>
      </c>
      <c r="B400" t="s">
        <v>9</v>
      </c>
      <c r="C400">
        <v>6</v>
      </c>
      <c r="D400">
        <v>6</v>
      </c>
      <c r="E400">
        <v>6</v>
      </c>
      <c r="F400">
        <v>0</v>
      </c>
      <c r="G400">
        <v>0</v>
      </c>
    </row>
    <row r="401" spans="1:12" x14ac:dyDescent="0.25">
      <c r="A401" s="3" t="s">
        <v>89</v>
      </c>
      <c r="B401" s="3" t="s">
        <v>9</v>
      </c>
      <c r="C401" s="3">
        <v>4</v>
      </c>
      <c r="D401" s="3">
        <v>4</v>
      </c>
      <c r="E401" s="3">
        <v>4</v>
      </c>
      <c r="F401" s="3">
        <v>0</v>
      </c>
      <c r="G401" s="3">
        <v>0</v>
      </c>
    </row>
    <row r="402" spans="1:12" x14ac:dyDescent="0.25">
      <c r="A402" t="s">
        <v>89</v>
      </c>
      <c r="B402" t="s">
        <v>10</v>
      </c>
      <c r="C402">
        <v>38</v>
      </c>
      <c r="D402">
        <v>38</v>
      </c>
      <c r="E402">
        <v>38</v>
      </c>
      <c r="F402">
        <v>0</v>
      </c>
      <c r="G402">
        <v>0</v>
      </c>
    </row>
    <row r="403" spans="1:12" x14ac:dyDescent="0.25">
      <c r="A403" s="3" t="s">
        <v>89</v>
      </c>
      <c r="B403" s="3" t="s">
        <v>10</v>
      </c>
      <c r="C403" s="3">
        <v>45</v>
      </c>
      <c r="D403" s="3">
        <v>45</v>
      </c>
      <c r="E403" s="3">
        <v>42</v>
      </c>
      <c r="F403" s="3">
        <v>3</v>
      </c>
      <c r="G403" s="3">
        <v>0</v>
      </c>
    </row>
    <row r="404" spans="1:12" x14ac:dyDescent="0.25">
      <c r="A404" t="s">
        <v>89</v>
      </c>
      <c r="B404" t="s">
        <v>177</v>
      </c>
      <c r="C404">
        <v>21</v>
      </c>
      <c r="D404">
        <v>21</v>
      </c>
      <c r="E404">
        <v>18</v>
      </c>
      <c r="F404">
        <v>3</v>
      </c>
      <c r="G404">
        <v>0</v>
      </c>
    </row>
    <row r="405" spans="1:12" x14ac:dyDescent="0.25">
      <c r="A405" s="3" t="s">
        <v>89</v>
      </c>
      <c r="B405" s="3" t="s">
        <v>177</v>
      </c>
      <c r="C405" s="3">
        <v>10</v>
      </c>
      <c r="D405" s="3">
        <v>9</v>
      </c>
      <c r="E405" s="3">
        <v>9</v>
      </c>
      <c r="F405" s="3">
        <v>0</v>
      </c>
      <c r="G405" s="3">
        <v>0</v>
      </c>
    </row>
    <row r="406" spans="1:12" x14ac:dyDescent="0.25">
      <c r="A406" t="s">
        <v>53</v>
      </c>
      <c r="B406" t="s">
        <v>2</v>
      </c>
      <c r="C406">
        <v>2</v>
      </c>
      <c r="D406">
        <v>2</v>
      </c>
      <c r="E406">
        <v>2</v>
      </c>
      <c r="F406">
        <v>0</v>
      </c>
      <c r="G406">
        <v>0</v>
      </c>
    </row>
    <row r="407" spans="1:12" x14ac:dyDescent="0.25">
      <c r="A407" t="s">
        <v>53</v>
      </c>
      <c r="B407" t="s">
        <v>4</v>
      </c>
      <c r="C407">
        <v>1</v>
      </c>
      <c r="D407">
        <v>0</v>
      </c>
      <c r="E407">
        <v>0</v>
      </c>
      <c r="F407">
        <v>0</v>
      </c>
      <c r="G407">
        <v>0</v>
      </c>
    </row>
    <row r="408" spans="1:12" x14ac:dyDescent="0.25">
      <c r="A408" t="s">
        <v>53</v>
      </c>
      <c r="B408" t="s">
        <v>5</v>
      </c>
      <c r="C408">
        <v>7</v>
      </c>
      <c r="D408">
        <v>6</v>
      </c>
      <c r="E408">
        <v>6</v>
      </c>
      <c r="F408">
        <v>0</v>
      </c>
      <c r="G408">
        <v>1</v>
      </c>
    </row>
    <row r="409" spans="1:12" x14ac:dyDescent="0.25">
      <c r="A409" s="3" t="s">
        <v>53</v>
      </c>
      <c r="B409" s="3" t="s">
        <v>5</v>
      </c>
      <c r="C409" s="3">
        <v>6</v>
      </c>
      <c r="D409" s="3">
        <v>6</v>
      </c>
      <c r="E409" s="3">
        <v>6</v>
      </c>
      <c r="F409" s="3">
        <v>0</v>
      </c>
      <c r="G409" s="3">
        <v>0</v>
      </c>
    </row>
    <row r="410" spans="1:12" x14ac:dyDescent="0.25">
      <c r="A410" t="s">
        <v>53</v>
      </c>
      <c r="B410" t="s">
        <v>185</v>
      </c>
      <c r="C410">
        <f>23+1</f>
        <v>24</v>
      </c>
      <c r="D410">
        <f>23+1</f>
        <v>24</v>
      </c>
      <c r="E410">
        <v>22</v>
      </c>
      <c r="F410">
        <f>1+1</f>
        <v>2</v>
      </c>
      <c r="G410">
        <v>0</v>
      </c>
      <c r="I410">
        <v>1399</v>
      </c>
      <c r="J410">
        <v>1361</v>
      </c>
      <c r="K410">
        <v>1104</v>
      </c>
      <c r="L410">
        <v>1</v>
      </c>
    </row>
    <row r="411" spans="1:12" x14ac:dyDescent="0.25">
      <c r="A411" s="3" t="s">
        <v>53</v>
      </c>
      <c r="B411" s="3" t="s">
        <v>185</v>
      </c>
      <c r="C411" s="3">
        <v>18</v>
      </c>
      <c r="D411" s="3">
        <v>17</v>
      </c>
      <c r="E411" s="3">
        <v>15</v>
      </c>
      <c r="F411" s="3">
        <v>2</v>
      </c>
      <c r="G411" s="3">
        <v>0</v>
      </c>
    </row>
    <row r="412" spans="1:12" x14ac:dyDescent="0.25">
      <c r="A412" t="s">
        <v>53</v>
      </c>
      <c r="B412" t="s">
        <v>186</v>
      </c>
      <c r="C412">
        <v>43</v>
      </c>
      <c r="D412">
        <v>36</v>
      </c>
      <c r="E412">
        <v>34</v>
      </c>
      <c r="F412">
        <v>2</v>
      </c>
      <c r="G412">
        <v>1</v>
      </c>
    </row>
    <row r="413" spans="1:12" x14ac:dyDescent="0.25">
      <c r="A413" s="3" t="s">
        <v>53</v>
      </c>
      <c r="B413" s="3" t="s">
        <v>186</v>
      </c>
      <c r="C413" s="3">
        <v>43</v>
      </c>
      <c r="D413" s="3">
        <v>42</v>
      </c>
      <c r="E413" s="3">
        <f>30+2</f>
        <v>32</v>
      </c>
      <c r="F413" s="3">
        <f>12-3+1</f>
        <v>10</v>
      </c>
      <c r="G413" s="3">
        <v>0</v>
      </c>
    </row>
    <row r="414" spans="1:12" x14ac:dyDescent="0.25">
      <c r="A414" t="s">
        <v>53</v>
      </c>
      <c r="B414" t="s">
        <v>187</v>
      </c>
      <c r="C414">
        <f>37+1</f>
        <v>38</v>
      </c>
      <c r="D414">
        <f>37+1</f>
        <v>38</v>
      </c>
      <c r="E414">
        <f>25+7</f>
        <v>32</v>
      </c>
      <c r="F414">
        <f>13-7+0</f>
        <v>6</v>
      </c>
      <c r="G414">
        <v>0</v>
      </c>
    </row>
    <row r="415" spans="1:12" x14ac:dyDescent="0.25">
      <c r="A415" s="3" t="s">
        <v>53</v>
      </c>
      <c r="B415" s="3" t="s">
        <v>187</v>
      </c>
      <c r="C415" s="3">
        <v>34</v>
      </c>
      <c r="D415" s="3">
        <v>33</v>
      </c>
      <c r="E415" s="3">
        <v>27</v>
      </c>
      <c r="F415" s="3">
        <v>6</v>
      </c>
      <c r="G415" s="3">
        <v>0</v>
      </c>
    </row>
    <row r="416" spans="1:12" x14ac:dyDescent="0.25">
      <c r="A416" t="s">
        <v>53</v>
      </c>
      <c r="B416" t="s">
        <v>6</v>
      </c>
      <c r="C416">
        <v>7</v>
      </c>
      <c r="D416">
        <v>7</v>
      </c>
      <c r="E416">
        <v>7</v>
      </c>
      <c r="F416">
        <v>0</v>
      </c>
      <c r="G416">
        <v>0</v>
      </c>
    </row>
    <row r="417" spans="1:12" x14ac:dyDescent="0.25">
      <c r="A417" s="3" t="s">
        <v>53</v>
      </c>
      <c r="B417" s="3" t="s">
        <v>6</v>
      </c>
      <c r="C417" s="3">
        <v>7</v>
      </c>
      <c r="D417" s="3">
        <v>3</v>
      </c>
      <c r="E417" s="3">
        <v>3</v>
      </c>
      <c r="F417" s="3">
        <v>0</v>
      </c>
      <c r="G417" s="3">
        <v>0</v>
      </c>
    </row>
    <row r="418" spans="1:12" x14ac:dyDescent="0.25">
      <c r="A418" t="s">
        <v>53</v>
      </c>
      <c r="B418" t="s">
        <v>8</v>
      </c>
      <c r="C418">
        <v>13</v>
      </c>
      <c r="D418">
        <v>13</v>
      </c>
      <c r="E418">
        <v>12</v>
      </c>
      <c r="F418">
        <v>1</v>
      </c>
      <c r="G418">
        <v>0</v>
      </c>
    </row>
    <row r="419" spans="1:12" x14ac:dyDescent="0.25">
      <c r="A419" s="3" t="s">
        <v>53</v>
      </c>
      <c r="B419" s="3" t="s">
        <v>8</v>
      </c>
      <c r="C419" s="3">
        <v>8</v>
      </c>
      <c r="D419" s="3">
        <v>5</v>
      </c>
      <c r="E419" s="3">
        <v>4</v>
      </c>
      <c r="F419" s="3">
        <v>1</v>
      </c>
      <c r="G419" s="3">
        <v>0</v>
      </c>
    </row>
    <row r="420" spans="1:12" x14ac:dyDescent="0.25">
      <c r="A420" t="s">
        <v>53</v>
      </c>
      <c r="B420" t="s">
        <v>9</v>
      </c>
      <c r="C420">
        <v>9</v>
      </c>
      <c r="D420">
        <v>9</v>
      </c>
      <c r="E420">
        <v>9</v>
      </c>
      <c r="F420">
        <v>0</v>
      </c>
      <c r="G420">
        <v>0</v>
      </c>
    </row>
    <row r="421" spans="1:12" x14ac:dyDescent="0.25">
      <c r="A421" s="3" t="s">
        <v>53</v>
      </c>
      <c r="B421" s="3" t="s">
        <v>9</v>
      </c>
      <c r="C421" s="3">
        <v>5</v>
      </c>
      <c r="D421" s="3">
        <v>2</v>
      </c>
      <c r="E421" s="3">
        <v>2</v>
      </c>
      <c r="F421" s="3">
        <v>0</v>
      </c>
      <c r="G421" s="3">
        <v>0</v>
      </c>
    </row>
    <row r="422" spans="1:12" x14ac:dyDescent="0.25">
      <c r="A422" t="s">
        <v>53</v>
      </c>
      <c r="B422" t="s">
        <v>10</v>
      </c>
      <c r="C422">
        <v>39</v>
      </c>
      <c r="D422">
        <v>39</v>
      </c>
      <c r="E422">
        <v>37</v>
      </c>
      <c r="F422">
        <v>2</v>
      </c>
      <c r="G422">
        <v>0</v>
      </c>
    </row>
    <row r="423" spans="1:12" x14ac:dyDescent="0.25">
      <c r="A423" s="3" t="s">
        <v>53</v>
      </c>
      <c r="B423" s="3" t="s">
        <v>10</v>
      </c>
      <c r="C423" s="3">
        <v>22</v>
      </c>
      <c r="D423" s="3">
        <v>22</v>
      </c>
      <c r="E423" s="3">
        <v>21</v>
      </c>
      <c r="F423" s="3">
        <v>1</v>
      </c>
      <c r="G423" s="3">
        <v>0</v>
      </c>
    </row>
    <row r="424" spans="1:12" x14ac:dyDescent="0.25">
      <c r="A424" t="s">
        <v>53</v>
      </c>
      <c r="B424" t="s">
        <v>177</v>
      </c>
      <c r="C424">
        <v>5</v>
      </c>
      <c r="D424">
        <v>5</v>
      </c>
      <c r="E424">
        <v>4</v>
      </c>
      <c r="F424">
        <v>1</v>
      </c>
      <c r="G424">
        <v>0</v>
      </c>
    </row>
    <row r="425" spans="1:12" x14ac:dyDescent="0.25">
      <c r="A425" s="3" t="s">
        <v>53</v>
      </c>
      <c r="B425" s="3" t="s">
        <v>177</v>
      </c>
      <c r="C425" s="3">
        <v>2</v>
      </c>
      <c r="D425" s="3">
        <v>2</v>
      </c>
      <c r="E425" s="3">
        <v>2</v>
      </c>
      <c r="F425" s="3">
        <v>0</v>
      </c>
      <c r="G425" s="3">
        <v>0</v>
      </c>
    </row>
    <row r="426" spans="1:12" x14ac:dyDescent="0.25">
      <c r="A426" t="s">
        <v>141</v>
      </c>
      <c r="B426" t="s">
        <v>2</v>
      </c>
      <c r="C426">
        <v>4</v>
      </c>
      <c r="D426">
        <v>4</v>
      </c>
      <c r="E426">
        <v>4</v>
      </c>
      <c r="F426">
        <v>0</v>
      </c>
      <c r="G426">
        <v>0</v>
      </c>
    </row>
    <row r="427" spans="1:12" x14ac:dyDescent="0.25">
      <c r="A427" s="3" t="s">
        <v>141</v>
      </c>
      <c r="B427" s="3" t="s">
        <v>2</v>
      </c>
      <c r="C427" s="3">
        <v>6</v>
      </c>
      <c r="D427" s="3">
        <v>6</v>
      </c>
      <c r="E427" s="3">
        <v>4</v>
      </c>
      <c r="F427" s="3">
        <v>2</v>
      </c>
      <c r="G427" s="3">
        <v>0</v>
      </c>
    </row>
    <row r="428" spans="1:12" x14ac:dyDescent="0.25">
      <c r="A428" s="3" t="s">
        <v>141</v>
      </c>
      <c r="B428" s="3" t="s">
        <v>188</v>
      </c>
      <c r="C428" s="3">
        <v>1</v>
      </c>
      <c r="D428" s="3">
        <v>0</v>
      </c>
      <c r="E428" s="3">
        <v>0</v>
      </c>
      <c r="F428" s="3">
        <v>0</v>
      </c>
      <c r="G428" s="3">
        <v>0</v>
      </c>
    </row>
    <row r="429" spans="1:12" x14ac:dyDescent="0.25">
      <c r="A429" t="s">
        <v>141</v>
      </c>
      <c r="B429" t="s">
        <v>4</v>
      </c>
      <c r="C429">
        <v>1</v>
      </c>
      <c r="D429">
        <v>0</v>
      </c>
      <c r="E429">
        <v>0</v>
      </c>
      <c r="F429">
        <v>0</v>
      </c>
      <c r="G429">
        <v>0</v>
      </c>
    </row>
    <row r="430" spans="1:12" x14ac:dyDescent="0.25">
      <c r="A430" t="s">
        <v>141</v>
      </c>
      <c r="B430" t="s">
        <v>5</v>
      </c>
      <c r="C430">
        <v>38</v>
      </c>
      <c r="D430">
        <v>38</v>
      </c>
      <c r="E430">
        <f>26+8</f>
        <v>34</v>
      </c>
      <c r="F430">
        <f>12-9+1</f>
        <v>4</v>
      </c>
      <c r="G430">
        <v>0</v>
      </c>
      <c r="I430">
        <v>824</v>
      </c>
      <c r="J430">
        <v>790</v>
      </c>
      <c r="K430">
        <v>621</v>
      </c>
      <c r="L430">
        <v>0</v>
      </c>
    </row>
    <row r="431" spans="1:12" x14ac:dyDescent="0.25">
      <c r="A431" s="3" t="s">
        <v>141</v>
      </c>
      <c r="B431" s="3" t="s">
        <v>5</v>
      </c>
      <c r="C431" s="3">
        <v>34</v>
      </c>
      <c r="D431" s="3">
        <v>34</v>
      </c>
      <c r="E431" s="3">
        <v>31</v>
      </c>
      <c r="F431" s="3">
        <v>3</v>
      </c>
      <c r="G431" s="3">
        <v>0</v>
      </c>
      <c r="I431">
        <v>1212</v>
      </c>
      <c r="J431">
        <v>1137</v>
      </c>
      <c r="K431">
        <v>840</v>
      </c>
      <c r="L431">
        <v>10</v>
      </c>
    </row>
    <row r="432" spans="1:12" x14ac:dyDescent="0.25">
      <c r="A432" t="s">
        <v>141</v>
      </c>
      <c r="B432" t="s">
        <v>185</v>
      </c>
      <c r="C432">
        <f>51+2</f>
        <v>53</v>
      </c>
      <c r="D432">
        <f>51+2</f>
        <v>53</v>
      </c>
      <c r="E432">
        <f>41+2</f>
        <v>43</v>
      </c>
      <c r="F432">
        <v>10</v>
      </c>
      <c r="G432">
        <v>0</v>
      </c>
    </row>
    <row r="433" spans="1:7" x14ac:dyDescent="0.25">
      <c r="A433" s="3" t="s">
        <v>141</v>
      </c>
      <c r="B433" s="3" t="s">
        <v>185</v>
      </c>
      <c r="C433" s="3">
        <v>36</v>
      </c>
      <c r="D433" s="3">
        <v>36</v>
      </c>
      <c r="E433" s="3">
        <f>29+5</f>
        <v>34</v>
      </c>
      <c r="F433" s="3">
        <f>7-6+1</f>
        <v>2</v>
      </c>
      <c r="G433" s="3">
        <v>0</v>
      </c>
    </row>
    <row r="434" spans="1:7" x14ac:dyDescent="0.25">
      <c r="A434" t="s">
        <v>141</v>
      </c>
      <c r="B434" t="s">
        <v>186</v>
      </c>
      <c r="C434">
        <f>72+2</f>
        <v>74</v>
      </c>
      <c r="D434">
        <f>69+2</f>
        <v>71</v>
      </c>
      <c r="E434">
        <f>60+2</f>
        <v>62</v>
      </c>
      <c r="F434">
        <v>9</v>
      </c>
      <c r="G434">
        <v>0</v>
      </c>
    </row>
    <row r="435" spans="1:7" x14ac:dyDescent="0.25">
      <c r="A435" s="3" t="s">
        <v>141</v>
      </c>
      <c r="B435" s="3" t="s">
        <v>186</v>
      </c>
      <c r="C435" s="3">
        <v>41</v>
      </c>
      <c r="D435" s="3">
        <v>40</v>
      </c>
      <c r="E435" s="3">
        <f>34+2</f>
        <v>36</v>
      </c>
      <c r="F435" s="3">
        <f>6-2+0</f>
        <v>4</v>
      </c>
      <c r="G435" s="3">
        <v>0</v>
      </c>
    </row>
    <row r="436" spans="1:7" x14ac:dyDescent="0.25">
      <c r="A436" t="s">
        <v>141</v>
      </c>
      <c r="B436" t="s">
        <v>189</v>
      </c>
      <c r="C436">
        <v>1</v>
      </c>
      <c r="D436">
        <v>1</v>
      </c>
      <c r="E436">
        <v>1</v>
      </c>
      <c r="F436">
        <v>0</v>
      </c>
      <c r="G436">
        <v>0</v>
      </c>
    </row>
    <row r="437" spans="1:7" x14ac:dyDescent="0.25">
      <c r="A437" t="s">
        <v>141</v>
      </c>
      <c r="B437" t="s">
        <v>187</v>
      </c>
      <c r="C437">
        <v>94</v>
      </c>
      <c r="D437">
        <v>92</v>
      </c>
      <c r="E437">
        <v>80</v>
      </c>
      <c r="F437">
        <v>12</v>
      </c>
      <c r="G437">
        <v>0</v>
      </c>
    </row>
    <row r="438" spans="1:7" x14ac:dyDescent="0.25">
      <c r="A438" s="3" t="s">
        <v>141</v>
      </c>
      <c r="B438" s="3" t="s">
        <v>187</v>
      </c>
      <c r="C438" s="3">
        <v>89</v>
      </c>
      <c r="D438" s="3">
        <v>87</v>
      </c>
      <c r="E438" s="3">
        <f>79+5</f>
        <v>84</v>
      </c>
      <c r="F438" s="3">
        <f>8-6+1</f>
        <v>3</v>
      </c>
      <c r="G438" s="3">
        <v>0</v>
      </c>
    </row>
    <row r="439" spans="1:7" x14ac:dyDescent="0.25">
      <c r="A439" t="s">
        <v>141</v>
      </c>
      <c r="B439" t="s">
        <v>6</v>
      </c>
      <c r="C439">
        <v>21</v>
      </c>
      <c r="D439">
        <v>21</v>
      </c>
      <c r="E439">
        <v>21</v>
      </c>
      <c r="F439">
        <v>0</v>
      </c>
      <c r="G439">
        <v>0</v>
      </c>
    </row>
    <row r="440" spans="1:7" x14ac:dyDescent="0.25">
      <c r="A440" s="3" t="s">
        <v>141</v>
      </c>
      <c r="B440" s="3" t="s">
        <v>6</v>
      </c>
      <c r="C440" s="3">
        <v>22</v>
      </c>
      <c r="D440" s="3">
        <v>22</v>
      </c>
      <c r="E440" s="3">
        <v>22</v>
      </c>
      <c r="F440" s="3">
        <v>0</v>
      </c>
      <c r="G440" s="3">
        <v>0</v>
      </c>
    </row>
    <row r="441" spans="1:7" x14ac:dyDescent="0.25">
      <c r="A441" t="s">
        <v>141</v>
      </c>
      <c r="B441" t="s">
        <v>7</v>
      </c>
      <c r="C441">
        <v>2</v>
      </c>
      <c r="D441">
        <v>1</v>
      </c>
      <c r="E441">
        <v>1</v>
      </c>
      <c r="F441">
        <v>0</v>
      </c>
      <c r="G441">
        <v>0</v>
      </c>
    </row>
    <row r="442" spans="1:7" x14ac:dyDescent="0.25">
      <c r="A442" s="3" t="s">
        <v>141</v>
      </c>
      <c r="B442" s="3" t="s">
        <v>7</v>
      </c>
      <c r="C442" s="3">
        <v>1</v>
      </c>
      <c r="D442" s="3">
        <v>0</v>
      </c>
      <c r="E442" s="3">
        <v>0</v>
      </c>
      <c r="F442" s="3">
        <v>0</v>
      </c>
      <c r="G442" s="3">
        <v>0</v>
      </c>
    </row>
    <row r="443" spans="1:7" x14ac:dyDescent="0.25">
      <c r="A443" t="s">
        <v>141</v>
      </c>
      <c r="B443" t="s">
        <v>8</v>
      </c>
      <c r="C443">
        <v>4</v>
      </c>
      <c r="D443">
        <v>4</v>
      </c>
      <c r="E443">
        <v>3</v>
      </c>
      <c r="F443">
        <v>1</v>
      </c>
      <c r="G443">
        <v>0</v>
      </c>
    </row>
    <row r="444" spans="1:7" x14ac:dyDescent="0.25">
      <c r="A444" t="s">
        <v>141</v>
      </c>
      <c r="B444" t="s">
        <v>9</v>
      </c>
      <c r="C444">
        <v>2</v>
      </c>
      <c r="D444">
        <v>2</v>
      </c>
      <c r="E444">
        <v>2</v>
      </c>
      <c r="F444">
        <v>0</v>
      </c>
      <c r="G444">
        <v>0</v>
      </c>
    </row>
    <row r="445" spans="1:7" x14ac:dyDescent="0.25">
      <c r="A445" t="s">
        <v>141</v>
      </c>
      <c r="B445" t="s">
        <v>10</v>
      </c>
      <c r="C445">
        <v>79</v>
      </c>
      <c r="D445">
        <v>79</v>
      </c>
      <c r="E445">
        <v>75</v>
      </c>
      <c r="F445">
        <v>4</v>
      </c>
      <c r="G445">
        <v>0</v>
      </c>
    </row>
    <row r="446" spans="1:7" x14ac:dyDescent="0.25">
      <c r="A446" s="3" t="s">
        <v>141</v>
      </c>
      <c r="B446" s="3" t="s">
        <v>10</v>
      </c>
      <c r="C446" s="3">
        <v>64</v>
      </c>
      <c r="D446" s="3">
        <v>63</v>
      </c>
      <c r="E446" s="3">
        <v>60</v>
      </c>
      <c r="F446" s="3">
        <v>3</v>
      </c>
      <c r="G446" s="3">
        <v>0</v>
      </c>
    </row>
    <row r="447" spans="1:7" x14ac:dyDescent="0.25">
      <c r="A447" t="s">
        <v>141</v>
      </c>
      <c r="B447" t="s">
        <v>177</v>
      </c>
      <c r="C447">
        <v>36</v>
      </c>
      <c r="D447">
        <v>35</v>
      </c>
      <c r="E447">
        <v>30</v>
      </c>
      <c r="F447">
        <v>5</v>
      </c>
      <c r="G447">
        <v>0</v>
      </c>
    </row>
    <row r="448" spans="1:7" x14ac:dyDescent="0.25">
      <c r="A448" t="s">
        <v>128</v>
      </c>
      <c r="B448" t="s">
        <v>2</v>
      </c>
      <c r="C448">
        <v>3</v>
      </c>
      <c r="D448">
        <v>2</v>
      </c>
      <c r="E448">
        <v>2</v>
      </c>
      <c r="F448">
        <v>0</v>
      </c>
      <c r="G448">
        <v>0</v>
      </c>
    </row>
    <row r="449" spans="1:7" x14ac:dyDescent="0.25">
      <c r="A449" s="3" t="s">
        <v>128</v>
      </c>
      <c r="B449" s="3" t="s">
        <v>2</v>
      </c>
      <c r="C449" s="3">
        <v>3</v>
      </c>
      <c r="D449" s="3">
        <v>3</v>
      </c>
      <c r="E449" s="3">
        <v>3</v>
      </c>
      <c r="F449" s="3">
        <v>0</v>
      </c>
      <c r="G449" s="3">
        <v>0</v>
      </c>
    </row>
    <row r="450" spans="1:7" x14ac:dyDescent="0.25">
      <c r="A450" t="s">
        <v>128</v>
      </c>
      <c r="B450" t="s">
        <v>4</v>
      </c>
      <c r="C450">
        <v>3</v>
      </c>
      <c r="D450">
        <v>0</v>
      </c>
      <c r="E450">
        <v>0</v>
      </c>
      <c r="F450">
        <v>0</v>
      </c>
      <c r="G450">
        <v>0</v>
      </c>
    </row>
    <row r="451" spans="1:7" x14ac:dyDescent="0.25">
      <c r="A451" t="s">
        <v>128</v>
      </c>
      <c r="B451" t="s">
        <v>5</v>
      </c>
      <c r="C451">
        <v>16</v>
      </c>
      <c r="D451">
        <v>16</v>
      </c>
      <c r="E451">
        <f>6+8</f>
        <v>14</v>
      </c>
      <c r="F451">
        <f>10-8+0</f>
        <v>2</v>
      </c>
      <c r="G451">
        <v>0</v>
      </c>
    </row>
    <row r="452" spans="1:7" x14ac:dyDescent="0.25">
      <c r="A452" s="3" t="s">
        <v>128</v>
      </c>
      <c r="B452" s="3" t="s">
        <v>5</v>
      </c>
      <c r="C452" s="3">
        <v>16</v>
      </c>
      <c r="D452" s="3">
        <v>15</v>
      </c>
      <c r="E452" s="3">
        <v>14</v>
      </c>
      <c r="F452" s="3">
        <v>1</v>
      </c>
      <c r="G452" s="3">
        <v>1</v>
      </c>
    </row>
    <row r="453" spans="1:7" x14ac:dyDescent="0.25">
      <c r="A453" t="s">
        <v>128</v>
      </c>
      <c r="B453" t="s">
        <v>185</v>
      </c>
      <c r="C453">
        <f>9+1</f>
        <v>10</v>
      </c>
      <c r="D453">
        <f>9+1</f>
        <v>10</v>
      </c>
      <c r="E453">
        <f>6+3</f>
        <v>9</v>
      </c>
      <c r="F453">
        <f>4-4+1</f>
        <v>1</v>
      </c>
      <c r="G453">
        <v>0</v>
      </c>
    </row>
    <row r="454" spans="1:7" x14ac:dyDescent="0.25">
      <c r="A454" s="3" t="s">
        <v>128</v>
      </c>
      <c r="B454" s="3" t="s">
        <v>185</v>
      </c>
      <c r="C454" s="3">
        <v>12</v>
      </c>
      <c r="D454" s="3">
        <v>12</v>
      </c>
      <c r="E454" s="3">
        <v>11</v>
      </c>
      <c r="F454" s="3">
        <v>1</v>
      </c>
      <c r="G454" s="3">
        <v>0</v>
      </c>
    </row>
    <row r="455" spans="1:7" x14ac:dyDescent="0.25">
      <c r="A455" t="s">
        <v>128</v>
      </c>
      <c r="B455" t="s">
        <v>186</v>
      </c>
      <c r="C455">
        <f>30+1</f>
        <v>31</v>
      </c>
      <c r="D455">
        <f>29+1</f>
        <v>30</v>
      </c>
      <c r="E455">
        <v>30</v>
      </c>
      <c r="F455">
        <v>0</v>
      </c>
      <c r="G455">
        <v>0</v>
      </c>
    </row>
    <row r="456" spans="1:7" x14ac:dyDescent="0.25">
      <c r="A456" s="3" t="s">
        <v>128</v>
      </c>
      <c r="B456" s="3" t="s">
        <v>186</v>
      </c>
      <c r="C456" s="3">
        <v>16</v>
      </c>
      <c r="D456" s="3">
        <v>13</v>
      </c>
      <c r="E456" s="3">
        <v>12</v>
      </c>
      <c r="F456" s="3">
        <v>1</v>
      </c>
      <c r="G456" s="3">
        <v>2</v>
      </c>
    </row>
    <row r="457" spans="1:7" x14ac:dyDescent="0.25">
      <c r="A457" s="3" t="s">
        <v>128</v>
      </c>
      <c r="B457" s="3" t="s">
        <v>189</v>
      </c>
      <c r="C457" s="3">
        <v>1</v>
      </c>
      <c r="D457" s="3">
        <v>1</v>
      </c>
      <c r="E457" s="3">
        <v>0</v>
      </c>
      <c r="F457" s="3">
        <v>1</v>
      </c>
      <c r="G457" s="3">
        <v>0</v>
      </c>
    </row>
    <row r="458" spans="1:7" x14ac:dyDescent="0.25">
      <c r="A458" t="s">
        <v>128</v>
      </c>
      <c r="B458" t="s">
        <v>187</v>
      </c>
      <c r="C458">
        <f>37+2</f>
        <v>39</v>
      </c>
      <c r="D458">
        <f>36+2</f>
        <v>38</v>
      </c>
      <c r="E458">
        <f>14+11</f>
        <v>25</v>
      </c>
      <c r="F458">
        <f>24-14+3</f>
        <v>13</v>
      </c>
      <c r="G458">
        <v>0</v>
      </c>
    </row>
    <row r="459" spans="1:7" x14ac:dyDescent="0.25">
      <c r="A459" s="3" t="s">
        <v>128</v>
      </c>
      <c r="B459" s="3" t="s">
        <v>187</v>
      </c>
      <c r="C459" s="3">
        <v>19</v>
      </c>
      <c r="D459" s="3">
        <v>16</v>
      </c>
      <c r="E459" s="3">
        <v>11</v>
      </c>
      <c r="F459" s="3">
        <v>5</v>
      </c>
      <c r="G459" s="3">
        <v>0</v>
      </c>
    </row>
    <row r="460" spans="1:7" x14ac:dyDescent="0.25">
      <c r="A460" t="s">
        <v>128</v>
      </c>
      <c r="B460" t="s">
        <v>6</v>
      </c>
      <c r="C460">
        <v>10</v>
      </c>
      <c r="D460">
        <v>10</v>
      </c>
      <c r="E460">
        <v>10</v>
      </c>
      <c r="F460">
        <v>0</v>
      </c>
      <c r="G460">
        <v>0</v>
      </c>
    </row>
    <row r="461" spans="1:7" x14ac:dyDescent="0.25">
      <c r="A461" s="3" t="s">
        <v>128</v>
      </c>
      <c r="B461" s="3" t="s">
        <v>6</v>
      </c>
      <c r="C461" s="3">
        <v>6</v>
      </c>
      <c r="D461" s="3">
        <v>6</v>
      </c>
      <c r="E461" s="3">
        <v>6</v>
      </c>
      <c r="F461" s="3">
        <v>0</v>
      </c>
      <c r="G461" s="3">
        <v>0</v>
      </c>
    </row>
    <row r="462" spans="1:7" x14ac:dyDescent="0.25">
      <c r="A462" t="s">
        <v>128</v>
      </c>
      <c r="B462" t="s">
        <v>7</v>
      </c>
      <c r="C462">
        <v>1</v>
      </c>
      <c r="D462">
        <v>1</v>
      </c>
      <c r="E462">
        <v>0</v>
      </c>
      <c r="F462">
        <v>1</v>
      </c>
      <c r="G462">
        <v>0</v>
      </c>
    </row>
    <row r="463" spans="1:7" x14ac:dyDescent="0.25">
      <c r="A463" s="3" t="s">
        <v>128</v>
      </c>
      <c r="B463" s="3" t="s">
        <v>7</v>
      </c>
      <c r="C463" s="3">
        <v>7</v>
      </c>
      <c r="D463" s="3">
        <v>5</v>
      </c>
      <c r="E463" s="3">
        <v>4</v>
      </c>
      <c r="F463" s="3">
        <v>1</v>
      </c>
      <c r="G463" s="3">
        <v>0</v>
      </c>
    </row>
    <row r="464" spans="1:7" x14ac:dyDescent="0.25">
      <c r="A464" t="s">
        <v>128</v>
      </c>
      <c r="B464" t="s">
        <v>8</v>
      </c>
      <c r="C464">
        <v>3</v>
      </c>
      <c r="D464">
        <v>3</v>
      </c>
      <c r="E464">
        <v>2</v>
      </c>
      <c r="F464">
        <v>1</v>
      </c>
      <c r="G464">
        <v>0</v>
      </c>
    </row>
    <row r="465" spans="1:7" x14ac:dyDescent="0.25">
      <c r="A465" s="3" t="s">
        <v>128</v>
      </c>
      <c r="B465" s="3" t="s">
        <v>8</v>
      </c>
      <c r="C465" s="3">
        <v>3</v>
      </c>
      <c r="D465" s="3">
        <v>3</v>
      </c>
      <c r="E465" s="3">
        <v>2</v>
      </c>
      <c r="F465" s="3">
        <v>1</v>
      </c>
      <c r="G465" s="3">
        <v>0</v>
      </c>
    </row>
    <row r="466" spans="1:7" x14ac:dyDescent="0.25">
      <c r="A466" t="s">
        <v>128</v>
      </c>
      <c r="B466" t="s">
        <v>9</v>
      </c>
      <c r="C466">
        <v>1</v>
      </c>
      <c r="D466">
        <v>1</v>
      </c>
      <c r="E466">
        <v>1</v>
      </c>
      <c r="F466">
        <v>0</v>
      </c>
      <c r="G466">
        <v>0</v>
      </c>
    </row>
    <row r="467" spans="1:7" x14ac:dyDescent="0.25">
      <c r="A467" s="3" t="s">
        <v>128</v>
      </c>
      <c r="B467" s="3" t="s">
        <v>9</v>
      </c>
      <c r="C467" s="3">
        <v>1</v>
      </c>
      <c r="D467" s="3">
        <v>1</v>
      </c>
      <c r="E467" s="3">
        <v>1</v>
      </c>
      <c r="F467" s="3">
        <v>0</v>
      </c>
      <c r="G467" s="3">
        <v>0</v>
      </c>
    </row>
    <row r="468" spans="1:7" x14ac:dyDescent="0.25">
      <c r="A468" t="s">
        <v>128</v>
      </c>
      <c r="B468" t="s">
        <v>10</v>
      </c>
      <c r="C468">
        <v>21</v>
      </c>
      <c r="D468">
        <v>21</v>
      </c>
      <c r="E468">
        <v>18</v>
      </c>
      <c r="F468">
        <v>3</v>
      </c>
      <c r="G468">
        <v>0</v>
      </c>
    </row>
    <row r="469" spans="1:7" x14ac:dyDescent="0.25">
      <c r="A469" s="3" t="s">
        <v>128</v>
      </c>
      <c r="B469" s="3" t="s">
        <v>10</v>
      </c>
      <c r="C469" s="3">
        <v>16</v>
      </c>
      <c r="D469" s="3">
        <v>16</v>
      </c>
      <c r="E469" s="3">
        <v>13</v>
      </c>
      <c r="F469" s="3">
        <v>3</v>
      </c>
      <c r="G469" s="3">
        <v>0</v>
      </c>
    </row>
    <row r="470" spans="1:7" x14ac:dyDescent="0.25">
      <c r="A470" t="s">
        <v>128</v>
      </c>
      <c r="B470" t="s">
        <v>177</v>
      </c>
      <c r="C470">
        <v>15</v>
      </c>
      <c r="D470">
        <v>14</v>
      </c>
      <c r="E470">
        <v>13</v>
      </c>
      <c r="F470">
        <v>1</v>
      </c>
      <c r="G470">
        <v>0</v>
      </c>
    </row>
    <row r="471" spans="1:7" x14ac:dyDescent="0.25">
      <c r="A471" s="3" t="s">
        <v>128</v>
      </c>
      <c r="B471" s="3" t="s">
        <v>177</v>
      </c>
      <c r="C471" s="3">
        <v>11</v>
      </c>
      <c r="D471" s="3">
        <v>11</v>
      </c>
      <c r="E471" s="3">
        <v>11</v>
      </c>
      <c r="F471" s="3">
        <v>0</v>
      </c>
      <c r="G471" s="3">
        <v>0</v>
      </c>
    </row>
    <row r="472" spans="1:7" x14ac:dyDescent="0.25">
      <c r="A472" t="s">
        <v>73</v>
      </c>
      <c r="B472" t="s">
        <v>2</v>
      </c>
      <c r="C472">
        <v>2</v>
      </c>
      <c r="D472">
        <v>2</v>
      </c>
      <c r="E472">
        <v>2</v>
      </c>
      <c r="F472">
        <v>0</v>
      </c>
      <c r="G472">
        <v>0</v>
      </c>
    </row>
    <row r="473" spans="1:7" x14ac:dyDescent="0.25">
      <c r="A473" s="3" t="s">
        <v>73</v>
      </c>
      <c r="B473" s="3" t="s">
        <v>2</v>
      </c>
      <c r="C473" s="3">
        <v>3</v>
      </c>
      <c r="D473" s="3">
        <v>3</v>
      </c>
      <c r="E473" s="3">
        <v>3</v>
      </c>
      <c r="F473" s="3">
        <v>0</v>
      </c>
      <c r="G473" s="3">
        <v>0</v>
      </c>
    </row>
    <row r="474" spans="1:7" x14ac:dyDescent="0.25">
      <c r="A474" t="s">
        <v>73</v>
      </c>
      <c r="B474" t="s">
        <v>4</v>
      </c>
      <c r="C474">
        <v>2</v>
      </c>
      <c r="D474">
        <v>0</v>
      </c>
      <c r="E474">
        <v>0</v>
      </c>
      <c r="F474">
        <v>0</v>
      </c>
      <c r="G474">
        <v>0</v>
      </c>
    </row>
    <row r="475" spans="1:7" x14ac:dyDescent="0.25">
      <c r="A475" t="s">
        <v>73</v>
      </c>
      <c r="B475" t="s">
        <v>5</v>
      </c>
      <c r="C475">
        <v>111</v>
      </c>
      <c r="D475">
        <v>110</v>
      </c>
      <c r="E475">
        <f>99+6</f>
        <v>105</v>
      </c>
      <c r="F475">
        <f>11-6+0</f>
        <v>5</v>
      </c>
      <c r="G475">
        <v>0</v>
      </c>
    </row>
    <row r="476" spans="1:7" x14ac:dyDescent="0.25">
      <c r="A476" s="3" t="s">
        <v>73</v>
      </c>
      <c r="B476" s="3" t="s">
        <v>5</v>
      </c>
      <c r="C476" s="3">
        <v>62</v>
      </c>
      <c r="D476" s="3">
        <v>60</v>
      </c>
      <c r="E476" s="3">
        <v>58</v>
      </c>
      <c r="F476" s="3">
        <v>2</v>
      </c>
      <c r="G476" s="3">
        <v>2</v>
      </c>
    </row>
    <row r="477" spans="1:7" x14ac:dyDescent="0.25">
      <c r="A477" t="s">
        <v>73</v>
      </c>
      <c r="B477" t="s">
        <v>185</v>
      </c>
      <c r="C477">
        <f>30+1</f>
        <v>31</v>
      </c>
      <c r="D477">
        <f>30+1</f>
        <v>31</v>
      </c>
      <c r="E477">
        <f>22+4</f>
        <v>26</v>
      </c>
      <c r="F477">
        <f>9-5+1</f>
        <v>5</v>
      </c>
      <c r="G477">
        <v>0</v>
      </c>
    </row>
    <row r="478" spans="1:7" x14ac:dyDescent="0.25">
      <c r="A478" s="3" t="s">
        <v>73</v>
      </c>
      <c r="B478" s="3" t="s">
        <v>185</v>
      </c>
      <c r="C478" s="3">
        <v>16</v>
      </c>
      <c r="D478" s="3">
        <v>15</v>
      </c>
      <c r="E478" s="3">
        <v>13</v>
      </c>
      <c r="F478" s="3">
        <v>2</v>
      </c>
      <c r="G478" s="3">
        <v>0</v>
      </c>
    </row>
    <row r="479" spans="1:7" x14ac:dyDescent="0.25">
      <c r="A479" t="s">
        <v>73</v>
      </c>
      <c r="B479" t="s">
        <v>186</v>
      </c>
      <c r="C479">
        <v>71</v>
      </c>
      <c r="D479">
        <v>69</v>
      </c>
      <c r="E479">
        <f>43+14</f>
        <v>57</v>
      </c>
      <c r="F479">
        <f>26-18+4</f>
        <v>12</v>
      </c>
      <c r="G479">
        <v>0</v>
      </c>
    </row>
    <row r="480" spans="1:7" x14ac:dyDescent="0.25">
      <c r="A480" s="3" t="s">
        <v>73</v>
      </c>
      <c r="B480" s="3" t="s">
        <v>186</v>
      </c>
      <c r="C480" s="3">
        <v>46</v>
      </c>
      <c r="D480" s="3">
        <v>43</v>
      </c>
      <c r="E480" s="3">
        <v>31</v>
      </c>
      <c r="F480" s="3">
        <v>12</v>
      </c>
      <c r="G480" s="3">
        <v>0</v>
      </c>
    </row>
    <row r="481" spans="1:7" x14ac:dyDescent="0.25">
      <c r="A481" s="3" t="s">
        <v>73</v>
      </c>
      <c r="B481" s="3" t="s">
        <v>189</v>
      </c>
      <c r="C481" s="3">
        <f>2+1</f>
        <v>3</v>
      </c>
      <c r="D481" s="3">
        <f>2+1</f>
        <v>3</v>
      </c>
      <c r="E481" s="3">
        <f>1+1</f>
        <v>2</v>
      </c>
      <c r="F481" s="3">
        <v>1</v>
      </c>
      <c r="G481" s="3">
        <v>0</v>
      </c>
    </row>
    <row r="482" spans="1:7" x14ac:dyDescent="0.25">
      <c r="A482" t="s">
        <v>73</v>
      </c>
      <c r="B482" t="s">
        <v>187</v>
      </c>
      <c r="C482">
        <f>67+1</f>
        <v>68</v>
      </c>
      <c r="D482">
        <f>67+1</f>
        <v>68</v>
      </c>
      <c r="E482">
        <f>54+7</f>
        <v>61</v>
      </c>
      <c r="F482">
        <f>14-7+0</f>
        <v>7</v>
      </c>
      <c r="G482">
        <v>0</v>
      </c>
    </row>
    <row r="483" spans="1:7" x14ac:dyDescent="0.25">
      <c r="A483" s="3" t="s">
        <v>73</v>
      </c>
      <c r="B483" s="3" t="s">
        <v>187</v>
      </c>
      <c r="C483" s="3">
        <v>38</v>
      </c>
      <c r="D483" s="3">
        <v>36</v>
      </c>
      <c r="E483" s="3">
        <v>33</v>
      </c>
      <c r="F483" s="3">
        <v>3</v>
      </c>
      <c r="G483" s="3">
        <v>1</v>
      </c>
    </row>
    <row r="484" spans="1:7" x14ac:dyDescent="0.25">
      <c r="A484" t="s">
        <v>73</v>
      </c>
      <c r="B484" t="s">
        <v>6</v>
      </c>
      <c r="C484">
        <v>16</v>
      </c>
      <c r="D484">
        <v>16</v>
      </c>
      <c r="E484">
        <v>15</v>
      </c>
      <c r="F484">
        <v>1</v>
      </c>
      <c r="G484">
        <v>0</v>
      </c>
    </row>
    <row r="485" spans="1:7" x14ac:dyDescent="0.25">
      <c r="A485" s="3" t="s">
        <v>73</v>
      </c>
      <c r="B485" s="3" t="s">
        <v>6</v>
      </c>
      <c r="C485" s="3">
        <v>9</v>
      </c>
      <c r="D485" s="3">
        <v>8</v>
      </c>
      <c r="E485" s="3">
        <v>8</v>
      </c>
      <c r="F485" s="3">
        <v>0</v>
      </c>
      <c r="G485" s="3">
        <v>0</v>
      </c>
    </row>
    <row r="486" spans="1:7" x14ac:dyDescent="0.25">
      <c r="A486" t="s">
        <v>73</v>
      </c>
      <c r="B486" t="s">
        <v>7</v>
      </c>
      <c r="C486">
        <v>10</v>
      </c>
      <c r="D486">
        <v>10</v>
      </c>
      <c r="E486">
        <v>6</v>
      </c>
      <c r="F486">
        <v>4</v>
      </c>
      <c r="G486">
        <v>0</v>
      </c>
    </row>
    <row r="487" spans="1:7" x14ac:dyDescent="0.25">
      <c r="A487" s="3" t="s">
        <v>73</v>
      </c>
      <c r="B487" s="3" t="s">
        <v>7</v>
      </c>
      <c r="C487" s="3">
        <v>9</v>
      </c>
      <c r="D487" s="3">
        <v>9</v>
      </c>
      <c r="E487" s="3">
        <v>7</v>
      </c>
      <c r="F487" s="3">
        <v>2</v>
      </c>
      <c r="G487" s="3">
        <v>0</v>
      </c>
    </row>
    <row r="488" spans="1:7" x14ac:dyDescent="0.25">
      <c r="A488" t="s">
        <v>73</v>
      </c>
      <c r="B488" t="s">
        <v>8</v>
      </c>
      <c r="C488">
        <v>8</v>
      </c>
      <c r="D488">
        <v>8</v>
      </c>
      <c r="E488">
        <v>6</v>
      </c>
      <c r="F488">
        <v>2</v>
      </c>
      <c r="G488">
        <v>0</v>
      </c>
    </row>
    <row r="489" spans="1:7" x14ac:dyDescent="0.25">
      <c r="A489" s="3" t="s">
        <v>73</v>
      </c>
      <c r="B489" s="3" t="s">
        <v>8</v>
      </c>
      <c r="C489" s="3">
        <v>9</v>
      </c>
      <c r="D489" s="3">
        <v>9</v>
      </c>
      <c r="E489" s="3">
        <v>9</v>
      </c>
      <c r="F489" s="3">
        <v>0</v>
      </c>
      <c r="G489" s="3">
        <v>0</v>
      </c>
    </row>
    <row r="490" spans="1:7" x14ac:dyDescent="0.25">
      <c r="A490" t="s">
        <v>73</v>
      </c>
      <c r="B490" t="s">
        <v>9</v>
      </c>
      <c r="C490">
        <v>6</v>
      </c>
      <c r="D490">
        <v>6</v>
      </c>
      <c r="E490">
        <v>6</v>
      </c>
      <c r="F490">
        <v>0</v>
      </c>
      <c r="G490">
        <v>0</v>
      </c>
    </row>
    <row r="491" spans="1:7" x14ac:dyDescent="0.25">
      <c r="A491" s="3" t="s">
        <v>73</v>
      </c>
      <c r="B491" s="3" t="s">
        <v>9</v>
      </c>
      <c r="C491" s="3">
        <v>6</v>
      </c>
      <c r="D491" s="3">
        <v>6</v>
      </c>
      <c r="E491" s="3">
        <v>6</v>
      </c>
      <c r="F491" s="3">
        <v>0</v>
      </c>
      <c r="G491" s="3">
        <v>0</v>
      </c>
    </row>
    <row r="492" spans="1:7" x14ac:dyDescent="0.25">
      <c r="A492" t="s">
        <v>73</v>
      </c>
      <c r="B492" t="s">
        <v>10</v>
      </c>
      <c r="C492">
        <v>49</v>
      </c>
      <c r="D492">
        <v>49</v>
      </c>
      <c r="E492">
        <v>47</v>
      </c>
      <c r="F492">
        <v>2</v>
      </c>
      <c r="G492">
        <v>0</v>
      </c>
    </row>
    <row r="493" spans="1:7" x14ac:dyDescent="0.25">
      <c r="A493" s="3" t="s">
        <v>73</v>
      </c>
      <c r="B493" s="3" t="s">
        <v>10</v>
      </c>
      <c r="C493" s="3">
        <v>28</v>
      </c>
      <c r="D493" s="3">
        <v>28</v>
      </c>
      <c r="E493" s="3">
        <v>27</v>
      </c>
      <c r="F493" s="3">
        <v>1</v>
      </c>
      <c r="G493" s="3">
        <v>0</v>
      </c>
    </row>
    <row r="494" spans="1:7" x14ac:dyDescent="0.25">
      <c r="A494" t="s">
        <v>73</v>
      </c>
      <c r="B494" t="s">
        <v>177</v>
      </c>
      <c r="C494">
        <v>110</v>
      </c>
      <c r="D494">
        <v>110</v>
      </c>
      <c r="E494">
        <v>108</v>
      </c>
      <c r="F494">
        <v>2</v>
      </c>
      <c r="G494">
        <v>0</v>
      </c>
    </row>
    <row r="495" spans="1:7" x14ac:dyDescent="0.25">
      <c r="A495" s="3" t="s">
        <v>73</v>
      </c>
      <c r="B495" s="3" t="s">
        <v>177</v>
      </c>
      <c r="C495" s="3">
        <v>44</v>
      </c>
      <c r="D495" s="3">
        <v>42</v>
      </c>
      <c r="E495" s="3">
        <v>41</v>
      </c>
      <c r="F495" s="3">
        <v>1</v>
      </c>
      <c r="G495" s="3">
        <v>0</v>
      </c>
    </row>
    <row r="496" spans="1:7" x14ac:dyDescent="0.25">
      <c r="A496" t="s">
        <v>158</v>
      </c>
      <c r="B496" t="s">
        <v>2</v>
      </c>
      <c r="C496">
        <v>20</v>
      </c>
      <c r="D496">
        <v>12</v>
      </c>
      <c r="E496">
        <f>5+0</f>
        <v>5</v>
      </c>
      <c r="F496">
        <f>9-2+0</f>
        <v>7</v>
      </c>
      <c r="G496">
        <v>0</v>
      </c>
    </row>
    <row r="497" spans="1:7" x14ac:dyDescent="0.25">
      <c r="A497" s="3" t="s">
        <v>158</v>
      </c>
      <c r="B497" s="3" t="s">
        <v>2</v>
      </c>
      <c r="C497" s="3">
        <v>12</v>
      </c>
      <c r="D497" s="3">
        <v>12</v>
      </c>
      <c r="E497" s="3">
        <v>12</v>
      </c>
      <c r="F497" s="3">
        <v>0</v>
      </c>
      <c r="G497" s="3">
        <v>0</v>
      </c>
    </row>
    <row r="498" spans="1:7" x14ac:dyDescent="0.25">
      <c r="A498" t="s">
        <v>158</v>
      </c>
      <c r="B498" t="s">
        <v>4</v>
      </c>
      <c r="C498">
        <v>5</v>
      </c>
      <c r="D498">
        <v>0</v>
      </c>
      <c r="E498">
        <v>0</v>
      </c>
      <c r="F498">
        <v>0</v>
      </c>
      <c r="G498">
        <v>0</v>
      </c>
    </row>
    <row r="499" spans="1:7" x14ac:dyDescent="0.25">
      <c r="A499" t="s">
        <v>158</v>
      </c>
      <c r="B499" t="s">
        <v>5</v>
      </c>
      <c r="C499">
        <v>58</v>
      </c>
      <c r="D499">
        <v>58</v>
      </c>
      <c r="E499">
        <f>52+3</f>
        <v>55</v>
      </c>
      <c r="F499">
        <f>6-5+2</f>
        <v>3</v>
      </c>
      <c r="G499">
        <v>0</v>
      </c>
    </row>
    <row r="500" spans="1:7" x14ac:dyDescent="0.25">
      <c r="A500" s="3" t="s">
        <v>158</v>
      </c>
      <c r="B500" s="3" t="s">
        <v>5</v>
      </c>
      <c r="C500" s="3">
        <v>45</v>
      </c>
      <c r="D500" s="3">
        <v>45</v>
      </c>
      <c r="E500" s="3">
        <v>42</v>
      </c>
      <c r="F500" s="3">
        <v>3</v>
      </c>
      <c r="G500" s="3">
        <v>0</v>
      </c>
    </row>
    <row r="501" spans="1:7" x14ac:dyDescent="0.25">
      <c r="A501" t="s">
        <v>158</v>
      </c>
      <c r="B501" t="s">
        <v>185</v>
      </c>
      <c r="C501">
        <f>75+4</f>
        <v>79</v>
      </c>
      <c r="D501">
        <f>74+4</f>
        <v>78</v>
      </c>
      <c r="E501">
        <f>66+6</f>
        <v>72</v>
      </c>
      <c r="F501">
        <f>12-7+1</f>
        <v>6</v>
      </c>
      <c r="G501">
        <v>0</v>
      </c>
    </row>
    <row r="502" spans="1:7" x14ac:dyDescent="0.25">
      <c r="A502" s="3" t="s">
        <v>158</v>
      </c>
      <c r="B502" s="3" t="s">
        <v>185</v>
      </c>
      <c r="C502" s="3">
        <v>64</v>
      </c>
      <c r="D502" s="3">
        <v>62</v>
      </c>
      <c r="E502" s="3">
        <v>57</v>
      </c>
      <c r="F502" s="3">
        <v>5</v>
      </c>
      <c r="G502" s="3">
        <v>0</v>
      </c>
    </row>
    <row r="503" spans="1:7" x14ac:dyDescent="0.25">
      <c r="A503" t="s">
        <v>158</v>
      </c>
      <c r="B503" t="s">
        <v>186</v>
      </c>
      <c r="C503">
        <f>119+7</f>
        <v>126</v>
      </c>
      <c r="D503">
        <v>117</v>
      </c>
      <c r="E503">
        <f>61+31</f>
        <v>92</v>
      </c>
      <c r="F503">
        <f>59-43+9</f>
        <v>25</v>
      </c>
      <c r="G503">
        <v>2</v>
      </c>
    </row>
    <row r="504" spans="1:7" x14ac:dyDescent="0.25">
      <c r="A504" s="3" t="s">
        <v>158</v>
      </c>
      <c r="B504" s="3" t="s">
        <v>186</v>
      </c>
      <c r="C504" s="3">
        <v>92</v>
      </c>
      <c r="D504" s="3">
        <v>91</v>
      </c>
      <c r="E504" s="3">
        <v>72</v>
      </c>
      <c r="F504" s="3">
        <v>19</v>
      </c>
      <c r="G504" s="3">
        <v>0</v>
      </c>
    </row>
    <row r="505" spans="1:7" x14ac:dyDescent="0.25">
      <c r="A505" t="s">
        <v>158</v>
      </c>
      <c r="B505" t="s">
        <v>189</v>
      </c>
      <c r="C505">
        <v>1</v>
      </c>
      <c r="D505">
        <v>1</v>
      </c>
      <c r="E505">
        <v>1</v>
      </c>
      <c r="F505">
        <v>0</v>
      </c>
      <c r="G505">
        <v>0</v>
      </c>
    </row>
    <row r="506" spans="1:7" x14ac:dyDescent="0.25">
      <c r="A506" t="s">
        <v>158</v>
      </c>
      <c r="B506" t="s">
        <v>187</v>
      </c>
      <c r="C506">
        <v>157</v>
      </c>
      <c r="D506">
        <v>153</v>
      </c>
      <c r="E506">
        <f>128+12</f>
        <v>140</v>
      </c>
      <c r="F506">
        <f>25-12+0</f>
        <v>13</v>
      </c>
      <c r="G506">
        <v>0</v>
      </c>
    </row>
    <row r="507" spans="1:7" x14ac:dyDescent="0.25">
      <c r="A507" s="3" t="s">
        <v>158</v>
      </c>
      <c r="B507" s="3" t="s">
        <v>187</v>
      </c>
      <c r="C507" s="3">
        <v>89</v>
      </c>
      <c r="D507" s="3">
        <v>88</v>
      </c>
      <c r="E507" s="3">
        <v>78</v>
      </c>
      <c r="F507" s="3">
        <v>10</v>
      </c>
      <c r="G507" s="3">
        <v>0</v>
      </c>
    </row>
    <row r="508" spans="1:7" x14ac:dyDescent="0.25">
      <c r="A508" t="s">
        <v>158</v>
      </c>
      <c r="B508" t="s">
        <v>6</v>
      </c>
      <c r="C508">
        <v>41</v>
      </c>
      <c r="D508">
        <v>41</v>
      </c>
      <c r="E508">
        <v>41</v>
      </c>
      <c r="F508">
        <v>0</v>
      </c>
      <c r="G508">
        <v>0</v>
      </c>
    </row>
    <row r="509" spans="1:7" x14ac:dyDescent="0.25">
      <c r="A509" s="3" t="s">
        <v>158</v>
      </c>
      <c r="B509" s="3" t="s">
        <v>6</v>
      </c>
      <c r="C509" s="3">
        <v>9</v>
      </c>
      <c r="D509" s="3">
        <v>9</v>
      </c>
      <c r="E509" s="3">
        <v>9</v>
      </c>
      <c r="F509" s="3">
        <v>0</v>
      </c>
      <c r="G509" s="3">
        <v>0</v>
      </c>
    </row>
    <row r="510" spans="1:7" x14ac:dyDescent="0.25">
      <c r="A510" t="s">
        <v>158</v>
      </c>
      <c r="B510" t="s">
        <v>7</v>
      </c>
      <c r="C510">
        <v>2</v>
      </c>
      <c r="D510">
        <v>2</v>
      </c>
      <c r="E510">
        <v>2</v>
      </c>
      <c r="F510">
        <v>0</v>
      </c>
      <c r="G510">
        <v>0</v>
      </c>
    </row>
    <row r="511" spans="1:7" x14ac:dyDescent="0.25">
      <c r="A511" t="s">
        <v>158</v>
      </c>
      <c r="B511" t="s">
        <v>8</v>
      </c>
      <c r="C511">
        <v>27</v>
      </c>
      <c r="D511">
        <v>27</v>
      </c>
      <c r="E511">
        <v>27</v>
      </c>
      <c r="F511">
        <v>0</v>
      </c>
      <c r="G511">
        <v>0</v>
      </c>
    </row>
    <row r="512" spans="1:7" x14ac:dyDescent="0.25">
      <c r="A512" s="3" t="s">
        <v>158</v>
      </c>
      <c r="B512" s="3" t="s">
        <v>8</v>
      </c>
      <c r="C512" s="3">
        <v>26</v>
      </c>
      <c r="D512" s="3">
        <v>25</v>
      </c>
      <c r="E512" s="3">
        <v>23</v>
      </c>
      <c r="F512" s="3">
        <v>2</v>
      </c>
      <c r="G512" s="3">
        <v>0</v>
      </c>
    </row>
    <row r="513" spans="1:7" x14ac:dyDescent="0.25">
      <c r="A513" t="s">
        <v>158</v>
      </c>
      <c r="B513" t="s">
        <v>9</v>
      </c>
      <c r="C513">
        <v>21</v>
      </c>
      <c r="D513">
        <v>21</v>
      </c>
      <c r="E513">
        <v>21</v>
      </c>
      <c r="F513">
        <v>0</v>
      </c>
      <c r="G513">
        <v>0</v>
      </c>
    </row>
    <row r="514" spans="1:7" x14ac:dyDescent="0.25">
      <c r="A514" s="3" t="s">
        <v>158</v>
      </c>
      <c r="B514" s="3" t="s">
        <v>9</v>
      </c>
      <c r="C514" s="3">
        <v>8</v>
      </c>
      <c r="D514" s="3">
        <v>8</v>
      </c>
      <c r="E514" s="3">
        <v>8</v>
      </c>
      <c r="F514" s="3">
        <v>0</v>
      </c>
      <c r="G514" s="3">
        <v>0</v>
      </c>
    </row>
    <row r="515" spans="1:7" x14ac:dyDescent="0.25">
      <c r="A515" t="s">
        <v>158</v>
      </c>
      <c r="B515" t="s">
        <v>10</v>
      </c>
      <c r="C515">
        <v>76</v>
      </c>
      <c r="D515">
        <v>76</v>
      </c>
      <c r="E515">
        <v>75</v>
      </c>
      <c r="F515">
        <v>1</v>
      </c>
      <c r="G515">
        <v>0</v>
      </c>
    </row>
    <row r="516" spans="1:7" x14ac:dyDescent="0.25">
      <c r="A516" s="3" t="s">
        <v>158</v>
      </c>
      <c r="B516" s="3" t="s">
        <v>10</v>
      </c>
      <c r="C516" s="3">
        <v>63</v>
      </c>
      <c r="D516" s="3">
        <v>61</v>
      </c>
      <c r="E516" s="3">
        <v>50</v>
      </c>
      <c r="F516" s="3">
        <v>11</v>
      </c>
      <c r="G516" s="3">
        <v>1</v>
      </c>
    </row>
    <row r="517" spans="1:7" x14ac:dyDescent="0.25">
      <c r="A517" t="s">
        <v>158</v>
      </c>
      <c r="B517" t="s">
        <v>177</v>
      </c>
      <c r="C517">
        <v>60</v>
      </c>
      <c r="D517">
        <v>60</v>
      </c>
      <c r="E517">
        <v>58</v>
      </c>
      <c r="F517">
        <v>2</v>
      </c>
      <c r="G517">
        <v>0</v>
      </c>
    </row>
    <row r="518" spans="1:7" x14ac:dyDescent="0.25">
      <c r="A518" s="3" t="s">
        <v>158</v>
      </c>
      <c r="B518" s="3" t="s">
        <v>177</v>
      </c>
      <c r="C518" s="3">
        <v>38</v>
      </c>
      <c r="D518" s="3">
        <v>34</v>
      </c>
      <c r="E518" s="3">
        <v>31</v>
      </c>
      <c r="F518" s="3">
        <v>3</v>
      </c>
      <c r="G518" s="3">
        <v>0</v>
      </c>
    </row>
    <row r="519" spans="1:7" x14ac:dyDescent="0.25">
      <c r="A519" t="s">
        <v>67</v>
      </c>
      <c r="B519" t="s">
        <v>2</v>
      </c>
      <c r="C519">
        <v>1</v>
      </c>
      <c r="D519">
        <v>1</v>
      </c>
      <c r="E519">
        <v>1</v>
      </c>
      <c r="F519">
        <v>0</v>
      </c>
      <c r="G519">
        <v>0</v>
      </c>
    </row>
    <row r="520" spans="1:7" x14ac:dyDescent="0.25">
      <c r="A520" t="s">
        <v>67</v>
      </c>
      <c r="B520" t="s">
        <v>4</v>
      </c>
      <c r="C520">
        <v>4</v>
      </c>
      <c r="D520">
        <v>0</v>
      </c>
      <c r="E520">
        <v>0</v>
      </c>
      <c r="F520">
        <v>0</v>
      </c>
      <c r="G520">
        <v>0</v>
      </c>
    </row>
    <row r="521" spans="1:7" x14ac:dyDescent="0.25">
      <c r="A521" t="s">
        <v>67</v>
      </c>
      <c r="B521" t="s">
        <v>5</v>
      </c>
      <c r="C521">
        <v>10</v>
      </c>
      <c r="D521">
        <v>10</v>
      </c>
      <c r="E521">
        <f>6+3</f>
        <v>9</v>
      </c>
      <c r="F521">
        <f>4-3+0</f>
        <v>1</v>
      </c>
      <c r="G521">
        <v>0</v>
      </c>
    </row>
    <row r="522" spans="1:7" x14ac:dyDescent="0.25">
      <c r="A522" s="3" t="s">
        <v>67</v>
      </c>
      <c r="B522" s="3" t="s">
        <v>5</v>
      </c>
      <c r="C522" s="3">
        <v>5</v>
      </c>
      <c r="D522" s="3">
        <v>5</v>
      </c>
      <c r="E522" s="3">
        <v>3</v>
      </c>
      <c r="F522" s="3">
        <v>2</v>
      </c>
      <c r="G522" s="3">
        <v>0</v>
      </c>
    </row>
    <row r="523" spans="1:7" x14ac:dyDescent="0.25">
      <c r="A523" t="s">
        <v>67</v>
      </c>
      <c r="B523" t="s">
        <v>185</v>
      </c>
      <c r="C523">
        <f>12+1</f>
        <v>13</v>
      </c>
      <c r="D523">
        <f>12+1</f>
        <v>13</v>
      </c>
      <c r="E523">
        <f>10+1</f>
        <v>11</v>
      </c>
      <c r="F523">
        <v>2</v>
      </c>
      <c r="G523">
        <v>0</v>
      </c>
    </row>
    <row r="524" spans="1:7" x14ac:dyDescent="0.25">
      <c r="A524" s="3" t="s">
        <v>67</v>
      </c>
      <c r="B524" s="3" t="s">
        <v>185</v>
      </c>
      <c r="C524" s="3">
        <v>21</v>
      </c>
      <c r="D524" s="3">
        <v>20</v>
      </c>
      <c r="E524" s="3">
        <v>13</v>
      </c>
      <c r="F524" s="3">
        <v>7</v>
      </c>
      <c r="G524" s="3">
        <v>0</v>
      </c>
    </row>
    <row r="525" spans="1:7" x14ac:dyDescent="0.25">
      <c r="A525" t="s">
        <v>67</v>
      </c>
      <c r="B525" t="s">
        <v>186</v>
      </c>
      <c r="C525">
        <v>35</v>
      </c>
      <c r="D525">
        <v>34</v>
      </c>
      <c r="E525">
        <v>24</v>
      </c>
      <c r="F525">
        <v>10</v>
      </c>
      <c r="G525">
        <v>1</v>
      </c>
    </row>
    <row r="526" spans="1:7" x14ac:dyDescent="0.25">
      <c r="A526" s="3" t="s">
        <v>67</v>
      </c>
      <c r="B526" s="3" t="s">
        <v>186</v>
      </c>
      <c r="C526" s="3">
        <v>37</v>
      </c>
      <c r="D526" s="3">
        <v>29</v>
      </c>
      <c r="E526" s="3">
        <f>20+5</f>
        <v>25</v>
      </c>
      <c r="F526" s="3">
        <f>11-7+0</f>
        <v>4</v>
      </c>
      <c r="G526" s="3">
        <v>3</v>
      </c>
    </row>
    <row r="527" spans="1:7" x14ac:dyDescent="0.25">
      <c r="A527" t="s">
        <v>67</v>
      </c>
      <c r="B527" t="s">
        <v>187</v>
      </c>
      <c r="C527">
        <v>40</v>
      </c>
      <c r="D527">
        <v>40</v>
      </c>
      <c r="E527">
        <v>29</v>
      </c>
      <c r="F527">
        <v>11</v>
      </c>
      <c r="G527">
        <v>0</v>
      </c>
    </row>
    <row r="528" spans="1:7" x14ac:dyDescent="0.25">
      <c r="A528" s="3" t="s">
        <v>67</v>
      </c>
      <c r="B528" s="3" t="s">
        <v>187</v>
      </c>
      <c r="C528" s="3">
        <v>23</v>
      </c>
      <c r="D528" s="3">
        <v>22</v>
      </c>
      <c r="E528" s="3">
        <f>15+2</f>
        <v>17</v>
      </c>
      <c r="F528" s="3">
        <f>7-3+1</f>
        <v>5</v>
      </c>
      <c r="G528" s="3">
        <v>0</v>
      </c>
    </row>
    <row r="529" spans="1:7" x14ac:dyDescent="0.25">
      <c r="A529" t="s">
        <v>67</v>
      </c>
      <c r="B529" t="s">
        <v>6</v>
      </c>
      <c r="C529">
        <v>10</v>
      </c>
      <c r="D529">
        <v>10</v>
      </c>
      <c r="E529">
        <v>10</v>
      </c>
      <c r="F529">
        <v>0</v>
      </c>
      <c r="G529">
        <v>0</v>
      </c>
    </row>
    <row r="530" spans="1:7" x14ac:dyDescent="0.25">
      <c r="A530" s="3" t="s">
        <v>67</v>
      </c>
      <c r="B530" s="3" t="s">
        <v>6</v>
      </c>
      <c r="C530" s="3">
        <v>13</v>
      </c>
      <c r="D530" s="3">
        <v>13</v>
      </c>
      <c r="E530" s="3">
        <v>13</v>
      </c>
      <c r="F530" s="3">
        <v>0</v>
      </c>
      <c r="G530" s="3">
        <v>0</v>
      </c>
    </row>
    <row r="531" spans="1:7" x14ac:dyDescent="0.25">
      <c r="A531" t="s">
        <v>67</v>
      </c>
      <c r="B531" t="s">
        <v>8</v>
      </c>
      <c r="C531">
        <v>16</v>
      </c>
      <c r="D531">
        <v>16</v>
      </c>
      <c r="E531">
        <v>12</v>
      </c>
      <c r="F531">
        <v>4</v>
      </c>
      <c r="G531">
        <v>0</v>
      </c>
    </row>
    <row r="532" spans="1:7" x14ac:dyDescent="0.25">
      <c r="A532" s="3" t="s">
        <v>67</v>
      </c>
      <c r="B532" s="3" t="s">
        <v>8</v>
      </c>
      <c r="C532" s="3">
        <v>7</v>
      </c>
      <c r="D532" s="3">
        <v>7</v>
      </c>
      <c r="E532" s="3">
        <v>4</v>
      </c>
      <c r="F532" s="3">
        <v>3</v>
      </c>
      <c r="G532" s="3">
        <v>0</v>
      </c>
    </row>
    <row r="533" spans="1:7" x14ac:dyDescent="0.25">
      <c r="A533" t="s">
        <v>67</v>
      </c>
      <c r="B533" t="s">
        <v>9</v>
      </c>
      <c r="C533">
        <v>9</v>
      </c>
      <c r="D533">
        <v>9</v>
      </c>
      <c r="E533">
        <v>9</v>
      </c>
      <c r="F533">
        <v>0</v>
      </c>
      <c r="G533">
        <v>0</v>
      </c>
    </row>
    <row r="534" spans="1:7" x14ac:dyDescent="0.25">
      <c r="A534" t="s">
        <v>67</v>
      </c>
      <c r="B534" t="s">
        <v>10</v>
      </c>
      <c r="C534">
        <v>21</v>
      </c>
      <c r="D534">
        <v>21</v>
      </c>
      <c r="E534">
        <v>20</v>
      </c>
      <c r="F534">
        <v>1</v>
      </c>
      <c r="G534">
        <v>0</v>
      </c>
    </row>
    <row r="535" spans="1:7" x14ac:dyDescent="0.25">
      <c r="A535" s="3" t="s">
        <v>67</v>
      </c>
      <c r="B535" s="3" t="s">
        <v>10</v>
      </c>
      <c r="C535" s="3">
        <v>14</v>
      </c>
      <c r="D535" s="3">
        <v>13</v>
      </c>
      <c r="E535" s="3">
        <v>10</v>
      </c>
      <c r="F535" s="3">
        <v>3</v>
      </c>
      <c r="G535" s="3">
        <v>0</v>
      </c>
    </row>
    <row r="536" spans="1:7" x14ac:dyDescent="0.25">
      <c r="A536" t="s">
        <v>67</v>
      </c>
      <c r="B536" t="s">
        <v>177</v>
      </c>
      <c r="C536">
        <v>10</v>
      </c>
      <c r="D536">
        <v>10</v>
      </c>
      <c r="E536">
        <v>3</v>
      </c>
      <c r="F536">
        <v>7</v>
      </c>
      <c r="G536">
        <v>0</v>
      </c>
    </row>
    <row r="537" spans="1:7" x14ac:dyDescent="0.25">
      <c r="A537" s="3" t="s">
        <v>67</v>
      </c>
      <c r="B537" s="3" t="s">
        <v>177</v>
      </c>
      <c r="C537" s="3">
        <v>2</v>
      </c>
      <c r="D537" s="3">
        <v>1</v>
      </c>
      <c r="E537" s="3">
        <v>1</v>
      </c>
      <c r="F537" s="3">
        <v>0</v>
      </c>
      <c r="G537" s="3">
        <v>0</v>
      </c>
    </row>
    <row r="538" spans="1:7" x14ac:dyDescent="0.25">
      <c r="A538" t="s">
        <v>183</v>
      </c>
      <c r="B538" t="s">
        <v>2</v>
      </c>
      <c r="C538">
        <v>3</v>
      </c>
      <c r="D538">
        <v>3</v>
      </c>
      <c r="E538">
        <v>3</v>
      </c>
      <c r="F538">
        <v>0</v>
      </c>
      <c r="G538">
        <v>0</v>
      </c>
    </row>
    <row r="539" spans="1:7" x14ac:dyDescent="0.25">
      <c r="A539" t="s">
        <v>183</v>
      </c>
      <c r="B539" t="s">
        <v>27</v>
      </c>
      <c r="C539">
        <v>1</v>
      </c>
      <c r="D539">
        <v>0</v>
      </c>
      <c r="E539">
        <v>0</v>
      </c>
      <c r="F539">
        <v>0</v>
      </c>
      <c r="G539">
        <v>0</v>
      </c>
    </row>
    <row r="540" spans="1:7" x14ac:dyDescent="0.25">
      <c r="A540" t="s">
        <v>183</v>
      </c>
      <c r="B540" t="s">
        <v>185</v>
      </c>
      <c r="C540">
        <f>7+7</f>
        <v>14</v>
      </c>
      <c r="D540">
        <f>6+7</f>
        <v>13</v>
      </c>
      <c r="E540">
        <f>3+3</f>
        <v>6</v>
      </c>
      <c r="F540">
        <f>3+4</f>
        <v>7</v>
      </c>
      <c r="G540">
        <v>0</v>
      </c>
    </row>
    <row r="541" spans="1:7" x14ac:dyDescent="0.25">
      <c r="A541" s="3" t="s">
        <v>183</v>
      </c>
      <c r="B541" s="3" t="s">
        <v>185</v>
      </c>
      <c r="C541" s="3">
        <v>15</v>
      </c>
      <c r="D541" s="3">
        <v>15</v>
      </c>
      <c r="E541" s="3">
        <f>12+1</f>
        <v>13</v>
      </c>
      <c r="F541" s="3">
        <f>3-1+0</f>
        <v>2</v>
      </c>
      <c r="G541" s="3">
        <v>0</v>
      </c>
    </row>
    <row r="542" spans="1:7" x14ac:dyDescent="0.25">
      <c r="A542" t="s">
        <v>183</v>
      </c>
      <c r="B542" t="s">
        <v>186</v>
      </c>
      <c r="C542">
        <f>14+3</f>
        <v>17</v>
      </c>
      <c r="D542">
        <f>13+3</f>
        <v>16</v>
      </c>
      <c r="E542">
        <f>6+2</f>
        <v>8</v>
      </c>
      <c r="F542">
        <f>7+1</f>
        <v>8</v>
      </c>
      <c r="G542">
        <v>0</v>
      </c>
    </row>
    <row r="543" spans="1:7" x14ac:dyDescent="0.25">
      <c r="A543" s="3" t="s">
        <v>183</v>
      </c>
      <c r="B543" s="3" t="s">
        <v>186</v>
      </c>
      <c r="C543" s="3">
        <v>21</v>
      </c>
      <c r="D543" s="3">
        <v>19</v>
      </c>
      <c r="E543" s="3">
        <f>14+3</f>
        <v>17</v>
      </c>
      <c r="F543" s="3">
        <f>5-5+2</f>
        <v>2</v>
      </c>
      <c r="G543" s="3">
        <v>1</v>
      </c>
    </row>
    <row r="544" spans="1:7" x14ac:dyDescent="0.25">
      <c r="A544" t="s">
        <v>183</v>
      </c>
      <c r="B544" t="s">
        <v>187</v>
      </c>
      <c r="C544">
        <v>16</v>
      </c>
      <c r="D544">
        <v>16</v>
      </c>
      <c r="E544">
        <f>10+3</f>
        <v>13</v>
      </c>
      <c r="F544">
        <f>6-4+1</f>
        <v>3</v>
      </c>
      <c r="G544">
        <v>0</v>
      </c>
    </row>
    <row r="545" spans="1:7" x14ac:dyDescent="0.25">
      <c r="A545" s="3" t="s">
        <v>183</v>
      </c>
      <c r="B545" s="3" t="s">
        <v>187</v>
      </c>
      <c r="C545" s="3">
        <v>15</v>
      </c>
      <c r="D545" s="3">
        <v>15</v>
      </c>
      <c r="E545" s="3">
        <v>13</v>
      </c>
      <c r="F545" s="3">
        <v>2</v>
      </c>
      <c r="G545" s="3">
        <v>0</v>
      </c>
    </row>
    <row r="546" spans="1:7" x14ac:dyDescent="0.25">
      <c r="A546" t="s">
        <v>183</v>
      </c>
      <c r="B546" t="s">
        <v>6</v>
      </c>
      <c r="C546">
        <v>4</v>
      </c>
      <c r="D546">
        <v>4</v>
      </c>
      <c r="E546">
        <v>4</v>
      </c>
      <c r="F546">
        <v>0</v>
      </c>
      <c r="G546">
        <v>0</v>
      </c>
    </row>
    <row r="547" spans="1:7" x14ac:dyDescent="0.25">
      <c r="A547" s="3" t="s">
        <v>183</v>
      </c>
      <c r="B547" s="3" t="s">
        <v>6</v>
      </c>
      <c r="C547" s="3">
        <v>1</v>
      </c>
      <c r="D547" s="3">
        <v>1</v>
      </c>
      <c r="E547" s="3">
        <v>0</v>
      </c>
      <c r="F547" s="3">
        <v>1</v>
      </c>
      <c r="G547" s="3">
        <v>0</v>
      </c>
    </row>
    <row r="548" spans="1:7" x14ac:dyDescent="0.25">
      <c r="A548" t="s">
        <v>183</v>
      </c>
      <c r="B548" t="s">
        <v>7</v>
      </c>
      <c r="C548">
        <v>4</v>
      </c>
      <c r="D548">
        <v>2</v>
      </c>
      <c r="E548">
        <v>1</v>
      </c>
      <c r="F548">
        <v>1</v>
      </c>
      <c r="G548">
        <v>0</v>
      </c>
    </row>
    <row r="549" spans="1:7" x14ac:dyDescent="0.25">
      <c r="A549" t="s">
        <v>183</v>
      </c>
      <c r="B549" t="s">
        <v>8</v>
      </c>
      <c r="C549">
        <v>5</v>
      </c>
      <c r="D549">
        <v>5</v>
      </c>
      <c r="E549">
        <v>5</v>
      </c>
      <c r="F549">
        <v>0</v>
      </c>
      <c r="G549">
        <v>0</v>
      </c>
    </row>
    <row r="550" spans="1:7" x14ac:dyDescent="0.25">
      <c r="A550" s="3" t="s">
        <v>183</v>
      </c>
      <c r="B550" s="3" t="s">
        <v>8</v>
      </c>
      <c r="C550" s="3">
        <v>5</v>
      </c>
      <c r="D550" s="3">
        <v>5</v>
      </c>
      <c r="E550" s="3">
        <v>3</v>
      </c>
      <c r="F550" s="3">
        <v>2</v>
      </c>
      <c r="G550" s="3">
        <v>0</v>
      </c>
    </row>
    <row r="551" spans="1:7" x14ac:dyDescent="0.25">
      <c r="A551" t="s">
        <v>183</v>
      </c>
      <c r="B551" t="s">
        <v>9</v>
      </c>
      <c r="C551">
        <v>5</v>
      </c>
      <c r="D551">
        <v>5</v>
      </c>
      <c r="E551">
        <v>5</v>
      </c>
      <c r="F551">
        <v>0</v>
      </c>
      <c r="G551">
        <v>0</v>
      </c>
    </row>
    <row r="552" spans="1:7" x14ac:dyDescent="0.25">
      <c r="A552" s="3" t="s">
        <v>183</v>
      </c>
      <c r="B552" s="3" t="s">
        <v>9</v>
      </c>
      <c r="C552" s="3">
        <v>1</v>
      </c>
      <c r="D552" s="3">
        <v>1</v>
      </c>
      <c r="E552" s="3">
        <v>1</v>
      </c>
      <c r="F552" s="3">
        <v>0</v>
      </c>
      <c r="G552" s="3">
        <v>0</v>
      </c>
    </row>
    <row r="553" spans="1:7" x14ac:dyDescent="0.25">
      <c r="A553" t="s">
        <v>183</v>
      </c>
      <c r="B553" t="s">
        <v>10</v>
      </c>
      <c r="C553">
        <v>23</v>
      </c>
      <c r="D553">
        <v>23</v>
      </c>
      <c r="E553">
        <v>21</v>
      </c>
      <c r="F553">
        <v>2</v>
      </c>
      <c r="G553">
        <v>0</v>
      </c>
    </row>
    <row r="554" spans="1:7" x14ac:dyDescent="0.25">
      <c r="A554" s="3" t="s">
        <v>183</v>
      </c>
      <c r="B554" s="3" t="s">
        <v>10</v>
      </c>
      <c r="C554" s="3">
        <v>17</v>
      </c>
      <c r="D554" s="3">
        <v>17</v>
      </c>
      <c r="E554" s="3">
        <v>14</v>
      </c>
      <c r="F554" s="3">
        <v>3</v>
      </c>
      <c r="G554" s="3">
        <v>0</v>
      </c>
    </row>
    <row r="555" spans="1:7" x14ac:dyDescent="0.25">
      <c r="A555" s="3" t="s">
        <v>90</v>
      </c>
      <c r="B555" s="3" t="s">
        <v>2</v>
      </c>
      <c r="C555" s="3">
        <v>1</v>
      </c>
      <c r="D555" s="3">
        <v>1</v>
      </c>
      <c r="E555" s="3">
        <v>1</v>
      </c>
      <c r="F555" s="3">
        <v>0</v>
      </c>
      <c r="G555" s="3">
        <v>0</v>
      </c>
    </row>
    <row r="556" spans="1:7" x14ac:dyDescent="0.25">
      <c r="A556" t="s">
        <v>90</v>
      </c>
      <c r="B556" t="s">
        <v>5</v>
      </c>
      <c r="C556">
        <v>16</v>
      </c>
      <c r="D556">
        <v>14</v>
      </c>
      <c r="E556">
        <v>14</v>
      </c>
      <c r="F556">
        <v>0</v>
      </c>
      <c r="G556">
        <v>2</v>
      </c>
    </row>
    <row r="557" spans="1:7" x14ac:dyDescent="0.25">
      <c r="A557" s="3" t="s">
        <v>90</v>
      </c>
      <c r="B557" s="3" t="s">
        <v>5</v>
      </c>
      <c r="C557" s="3">
        <v>7</v>
      </c>
      <c r="D557" s="3">
        <v>7</v>
      </c>
      <c r="E557" s="3">
        <v>4</v>
      </c>
      <c r="F557" s="3">
        <v>3</v>
      </c>
      <c r="G557" s="3">
        <v>0</v>
      </c>
    </row>
    <row r="558" spans="1:7" x14ac:dyDescent="0.25">
      <c r="A558" t="s">
        <v>90</v>
      </c>
      <c r="B558" t="s">
        <v>185</v>
      </c>
      <c r="C558">
        <f>44+7</f>
        <v>51</v>
      </c>
      <c r="D558">
        <f>40+7</f>
        <v>47</v>
      </c>
      <c r="E558">
        <f>35+6</f>
        <v>41</v>
      </c>
      <c r="F558">
        <f>5+1</f>
        <v>6</v>
      </c>
      <c r="G558">
        <v>0</v>
      </c>
    </row>
    <row r="559" spans="1:7" x14ac:dyDescent="0.25">
      <c r="A559" s="3" t="s">
        <v>90</v>
      </c>
      <c r="B559" s="3" t="s">
        <v>185</v>
      </c>
      <c r="C559" s="3">
        <v>58</v>
      </c>
      <c r="D559" s="3">
        <v>52</v>
      </c>
      <c r="E559" s="3">
        <f>47+3</f>
        <v>50</v>
      </c>
      <c r="F559" s="3">
        <f>6-5+1</f>
        <v>2</v>
      </c>
      <c r="G559" s="3">
        <v>1</v>
      </c>
    </row>
    <row r="560" spans="1:7" x14ac:dyDescent="0.25">
      <c r="A560" t="s">
        <v>90</v>
      </c>
      <c r="B560" t="s">
        <v>186</v>
      </c>
      <c r="C560">
        <f>72+1</f>
        <v>73</v>
      </c>
      <c r="D560">
        <f>63+1</f>
        <v>64</v>
      </c>
      <c r="E560">
        <f>55+1</f>
        <v>56</v>
      </c>
      <c r="F560">
        <v>8</v>
      </c>
      <c r="G560">
        <v>6</v>
      </c>
    </row>
    <row r="561" spans="1:7" x14ac:dyDescent="0.25">
      <c r="A561" s="3" t="s">
        <v>90</v>
      </c>
      <c r="B561" s="3" t="s">
        <v>186</v>
      </c>
      <c r="C561" s="3">
        <v>83</v>
      </c>
      <c r="D561" s="3">
        <v>79</v>
      </c>
      <c r="E561" s="3">
        <f>68+4</f>
        <v>72</v>
      </c>
      <c r="F561" s="3">
        <f>11-4+0</f>
        <v>7</v>
      </c>
      <c r="G561" s="3">
        <v>1</v>
      </c>
    </row>
    <row r="562" spans="1:7" x14ac:dyDescent="0.25">
      <c r="A562" t="s">
        <v>90</v>
      </c>
      <c r="B562" t="s">
        <v>189</v>
      </c>
      <c r="C562">
        <v>1</v>
      </c>
      <c r="D562">
        <v>1</v>
      </c>
      <c r="E562">
        <v>1</v>
      </c>
      <c r="F562">
        <v>0</v>
      </c>
      <c r="G562">
        <v>0</v>
      </c>
    </row>
    <row r="563" spans="1:7" x14ac:dyDescent="0.25">
      <c r="A563" t="s">
        <v>90</v>
      </c>
      <c r="B563" t="s">
        <v>187</v>
      </c>
      <c r="C563">
        <v>24</v>
      </c>
      <c r="D563">
        <v>23</v>
      </c>
      <c r="E563">
        <v>19</v>
      </c>
      <c r="F563">
        <v>4</v>
      </c>
      <c r="G563">
        <v>0</v>
      </c>
    </row>
    <row r="564" spans="1:7" x14ac:dyDescent="0.25">
      <c r="A564" s="3" t="s">
        <v>90</v>
      </c>
      <c r="B564" s="3" t="s">
        <v>187</v>
      </c>
      <c r="C564" s="3">
        <v>30</v>
      </c>
      <c r="D564" s="3">
        <v>29</v>
      </c>
      <c r="E564" s="3">
        <f>27+1</f>
        <v>28</v>
      </c>
      <c r="F564" s="3">
        <f>2-1+0</f>
        <v>1</v>
      </c>
      <c r="G564" s="3">
        <v>1</v>
      </c>
    </row>
    <row r="565" spans="1:7" x14ac:dyDescent="0.25">
      <c r="A565" t="s">
        <v>90</v>
      </c>
      <c r="B565" t="s">
        <v>6</v>
      </c>
      <c r="C565">
        <v>82</v>
      </c>
      <c r="D565">
        <v>82</v>
      </c>
      <c r="E565">
        <v>82</v>
      </c>
      <c r="F565">
        <v>0</v>
      </c>
      <c r="G565">
        <v>0</v>
      </c>
    </row>
    <row r="566" spans="1:7" x14ac:dyDescent="0.25">
      <c r="A566" s="3" t="s">
        <v>90</v>
      </c>
      <c r="B566" s="3" t="s">
        <v>6</v>
      </c>
      <c r="C566" s="3">
        <v>20</v>
      </c>
      <c r="D566" s="3">
        <v>20</v>
      </c>
      <c r="E566" s="3">
        <v>20</v>
      </c>
      <c r="F566" s="3">
        <v>0</v>
      </c>
      <c r="G566" s="3">
        <v>0</v>
      </c>
    </row>
    <row r="567" spans="1:7" x14ac:dyDescent="0.25">
      <c r="A567" t="s">
        <v>90</v>
      </c>
      <c r="B567" t="s">
        <v>7</v>
      </c>
      <c r="C567">
        <v>2</v>
      </c>
      <c r="D567">
        <v>1</v>
      </c>
      <c r="E567">
        <v>1</v>
      </c>
      <c r="F567">
        <v>0</v>
      </c>
      <c r="G567">
        <v>0</v>
      </c>
    </row>
    <row r="568" spans="1:7" x14ac:dyDescent="0.25">
      <c r="A568" s="3" t="s">
        <v>90</v>
      </c>
      <c r="B568" s="3" t="s">
        <v>7</v>
      </c>
      <c r="C568" s="3">
        <v>2</v>
      </c>
      <c r="D568" s="3">
        <v>2</v>
      </c>
      <c r="E568" s="3">
        <v>1</v>
      </c>
      <c r="F568" s="3">
        <v>1</v>
      </c>
      <c r="G568" s="3">
        <v>0</v>
      </c>
    </row>
    <row r="569" spans="1:7" x14ac:dyDescent="0.25">
      <c r="A569" t="s">
        <v>90</v>
      </c>
      <c r="B569" t="s">
        <v>8</v>
      </c>
      <c r="C569">
        <v>38</v>
      </c>
      <c r="D569">
        <v>36</v>
      </c>
      <c r="E569">
        <v>34</v>
      </c>
      <c r="F569">
        <v>2</v>
      </c>
      <c r="G569">
        <v>0</v>
      </c>
    </row>
    <row r="570" spans="1:7" x14ac:dyDescent="0.25">
      <c r="A570" s="3" t="s">
        <v>90</v>
      </c>
      <c r="B570" s="3" t="s">
        <v>8</v>
      </c>
      <c r="C570" s="3">
        <v>18</v>
      </c>
      <c r="D570" s="3">
        <v>18</v>
      </c>
      <c r="E570" s="3">
        <v>18</v>
      </c>
      <c r="F570" s="3">
        <v>0</v>
      </c>
      <c r="G570" s="3">
        <v>0</v>
      </c>
    </row>
    <row r="571" spans="1:7" x14ac:dyDescent="0.25">
      <c r="A571" t="s">
        <v>90</v>
      </c>
      <c r="B571" t="s">
        <v>9</v>
      </c>
      <c r="C571">
        <v>14</v>
      </c>
      <c r="D571">
        <v>14</v>
      </c>
      <c r="E571">
        <v>14</v>
      </c>
      <c r="F571">
        <v>0</v>
      </c>
      <c r="G571">
        <v>0</v>
      </c>
    </row>
    <row r="572" spans="1:7" x14ac:dyDescent="0.25">
      <c r="A572" s="3" t="s">
        <v>90</v>
      </c>
      <c r="B572" s="3" t="s">
        <v>9</v>
      </c>
      <c r="C572" s="3">
        <v>15</v>
      </c>
      <c r="D572" s="3">
        <v>11</v>
      </c>
      <c r="E572" s="3">
        <v>11</v>
      </c>
      <c r="F572" s="3">
        <v>0</v>
      </c>
      <c r="G572" s="3">
        <v>0</v>
      </c>
    </row>
    <row r="573" spans="1:7" x14ac:dyDescent="0.25">
      <c r="A573" t="s">
        <v>90</v>
      </c>
      <c r="B573" t="s">
        <v>10</v>
      </c>
      <c r="C573">
        <v>70</v>
      </c>
      <c r="D573">
        <v>70</v>
      </c>
      <c r="E573">
        <v>61</v>
      </c>
      <c r="F573">
        <v>9</v>
      </c>
      <c r="G573">
        <v>0</v>
      </c>
    </row>
    <row r="574" spans="1:7" x14ac:dyDescent="0.25">
      <c r="A574" s="3" t="s">
        <v>90</v>
      </c>
      <c r="B574" s="3" t="s">
        <v>10</v>
      </c>
      <c r="C574" s="3">
        <v>60</v>
      </c>
      <c r="D574" s="3">
        <v>60</v>
      </c>
      <c r="E574" s="3">
        <v>50</v>
      </c>
      <c r="F574" s="3">
        <v>10</v>
      </c>
      <c r="G574" s="3">
        <v>0</v>
      </c>
    </row>
    <row r="575" spans="1:7" x14ac:dyDescent="0.25">
      <c r="A575" t="s">
        <v>90</v>
      </c>
      <c r="B575" t="s">
        <v>177</v>
      </c>
      <c r="C575">
        <v>17</v>
      </c>
      <c r="D575">
        <v>16</v>
      </c>
      <c r="E575">
        <v>16</v>
      </c>
      <c r="F575">
        <v>0</v>
      </c>
      <c r="G575">
        <v>0</v>
      </c>
    </row>
    <row r="576" spans="1:7" x14ac:dyDescent="0.25">
      <c r="A576" s="3" t="s">
        <v>90</v>
      </c>
      <c r="B576" s="3" t="s">
        <v>177</v>
      </c>
      <c r="C576" s="3">
        <v>3</v>
      </c>
      <c r="D576" s="3">
        <v>3</v>
      </c>
      <c r="E576" s="3">
        <v>3</v>
      </c>
      <c r="F576" s="3">
        <v>0</v>
      </c>
      <c r="G576" s="3">
        <v>0</v>
      </c>
    </row>
    <row r="577" spans="1:7" x14ac:dyDescent="0.25">
      <c r="A577" t="s">
        <v>54</v>
      </c>
      <c r="B577" t="s">
        <v>2</v>
      </c>
      <c r="C577">
        <v>6</v>
      </c>
      <c r="D577">
        <v>5</v>
      </c>
      <c r="E577">
        <v>3</v>
      </c>
      <c r="F577">
        <v>2</v>
      </c>
      <c r="G577">
        <v>0</v>
      </c>
    </row>
    <row r="578" spans="1:7" x14ac:dyDescent="0.25">
      <c r="A578" s="3" t="s">
        <v>54</v>
      </c>
      <c r="B578" s="3" t="s">
        <v>2</v>
      </c>
      <c r="C578" s="3">
        <v>1</v>
      </c>
      <c r="D578" s="3">
        <v>1</v>
      </c>
      <c r="E578" s="3">
        <v>1</v>
      </c>
      <c r="F578" s="3">
        <v>0</v>
      </c>
      <c r="G578" s="3">
        <v>0</v>
      </c>
    </row>
    <row r="579" spans="1:7" x14ac:dyDescent="0.25">
      <c r="A579" t="s">
        <v>54</v>
      </c>
      <c r="B579" t="s">
        <v>5</v>
      </c>
      <c r="C579">
        <v>5</v>
      </c>
      <c r="D579">
        <v>5</v>
      </c>
      <c r="E579">
        <v>4</v>
      </c>
      <c r="F579">
        <v>1</v>
      </c>
      <c r="G579">
        <v>0</v>
      </c>
    </row>
    <row r="580" spans="1:7" x14ac:dyDescent="0.25">
      <c r="A580" s="3" t="s">
        <v>54</v>
      </c>
      <c r="B580" s="3" t="s">
        <v>5</v>
      </c>
      <c r="C580" s="3">
        <v>6</v>
      </c>
      <c r="D580" s="3">
        <v>6</v>
      </c>
      <c r="E580" s="3">
        <v>4</v>
      </c>
      <c r="F580" s="3">
        <v>2</v>
      </c>
      <c r="G580" s="3">
        <v>0</v>
      </c>
    </row>
    <row r="581" spans="1:7" x14ac:dyDescent="0.25">
      <c r="A581" t="s">
        <v>54</v>
      </c>
      <c r="B581" t="s">
        <v>185</v>
      </c>
      <c r="C581">
        <f>15+1</f>
        <v>16</v>
      </c>
      <c r="D581">
        <f>15+1</f>
        <v>16</v>
      </c>
      <c r="E581">
        <f>11+1</f>
        <v>12</v>
      </c>
      <c r="F581">
        <v>4</v>
      </c>
      <c r="G581">
        <v>0</v>
      </c>
    </row>
    <row r="582" spans="1:7" x14ac:dyDescent="0.25">
      <c r="A582" s="3" t="s">
        <v>54</v>
      </c>
      <c r="B582" s="3" t="s">
        <v>185</v>
      </c>
      <c r="C582" s="3">
        <v>6</v>
      </c>
      <c r="D582" s="3">
        <v>6</v>
      </c>
      <c r="E582" s="3">
        <f>3+3</f>
        <v>6</v>
      </c>
      <c r="F582" s="3">
        <f>3-3+0</f>
        <v>0</v>
      </c>
      <c r="G582" s="3">
        <v>0</v>
      </c>
    </row>
    <row r="583" spans="1:7" x14ac:dyDescent="0.25">
      <c r="A583" t="s">
        <v>54</v>
      </c>
      <c r="B583" t="s">
        <v>186</v>
      </c>
      <c r="C583">
        <v>20</v>
      </c>
      <c r="D583">
        <v>20</v>
      </c>
      <c r="E583">
        <f>14+3</f>
        <v>17</v>
      </c>
      <c r="F583">
        <f>6-4+1</f>
        <v>3</v>
      </c>
      <c r="G583">
        <v>0</v>
      </c>
    </row>
    <row r="584" spans="1:7" x14ac:dyDescent="0.25">
      <c r="A584" s="3" t="s">
        <v>54</v>
      </c>
      <c r="B584" s="3" t="s">
        <v>186</v>
      </c>
      <c r="C584" s="3">
        <v>11</v>
      </c>
      <c r="D584" s="3">
        <v>10</v>
      </c>
      <c r="E584" s="3">
        <v>8</v>
      </c>
      <c r="F584" s="3">
        <v>2</v>
      </c>
      <c r="G584" s="3">
        <v>1</v>
      </c>
    </row>
    <row r="585" spans="1:7" x14ac:dyDescent="0.25">
      <c r="A585" s="3" t="s">
        <v>54</v>
      </c>
      <c r="B585" s="3" t="s">
        <v>189</v>
      </c>
      <c r="C585" s="3">
        <v>1</v>
      </c>
      <c r="D585" s="3">
        <v>1</v>
      </c>
      <c r="E585" s="3">
        <v>1</v>
      </c>
      <c r="F585" s="3">
        <v>0</v>
      </c>
      <c r="G585" s="3">
        <v>0</v>
      </c>
    </row>
    <row r="586" spans="1:7" x14ac:dyDescent="0.25">
      <c r="A586" t="s">
        <v>54</v>
      </c>
      <c r="B586" t="s">
        <v>187</v>
      </c>
      <c r="C586">
        <v>18</v>
      </c>
      <c r="D586">
        <v>18</v>
      </c>
      <c r="E586">
        <v>18</v>
      </c>
      <c r="F586">
        <v>0</v>
      </c>
      <c r="G586">
        <v>0</v>
      </c>
    </row>
    <row r="587" spans="1:7" x14ac:dyDescent="0.25">
      <c r="A587" s="3" t="s">
        <v>54</v>
      </c>
      <c r="B587" s="3" t="s">
        <v>187</v>
      </c>
      <c r="C587" s="3">
        <v>45</v>
      </c>
      <c r="D587" s="3">
        <v>45</v>
      </c>
      <c r="E587" s="3">
        <v>43</v>
      </c>
      <c r="F587" s="3">
        <v>2</v>
      </c>
      <c r="G587" s="3">
        <v>0</v>
      </c>
    </row>
    <row r="588" spans="1:7" x14ac:dyDescent="0.25">
      <c r="A588" t="s">
        <v>54</v>
      </c>
      <c r="B588" t="s">
        <v>6</v>
      </c>
      <c r="C588">
        <v>1</v>
      </c>
      <c r="D588">
        <v>1</v>
      </c>
      <c r="E588">
        <v>1</v>
      </c>
      <c r="F588">
        <v>0</v>
      </c>
      <c r="G588">
        <v>0</v>
      </c>
    </row>
    <row r="589" spans="1:7" x14ac:dyDescent="0.25">
      <c r="A589" s="3" t="s">
        <v>54</v>
      </c>
      <c r="B589" s="3" t="s">
        <v>6</v>
      </c>
      <c r="C589" s="3">
        <v>3</v>
      </c>
      <c r="D589" s="3">
        <v>3</v>
      </c>
      <c r="E589" s="3">
        <v>3</v>
      </c>
      <c r="F589" s="3">
        <v>0</v>
      </c>
      <c r="G589" s="3">
        <v>0</v>
      </c>
    </row>
    <row r="590" spans="1:7" x14ac:dyDescent="0.25">
      <c r="A590" t="s">
        <v>54</v>
      </c>
      <c r="B590" t="s">
        <v>7</v>
      </c>
      <c r="C590">
        <v>5</v>
      </c>
      <c r="D590">
        <v>5</v>
      </c>
      <c r="E590">
        <v>5</v>
      </c>
      <c r="F590">
        <v>0</v>
      </c>
      <c r="G590">
        <v>0</v>
      </c>
    </row>
    <row r="591" spans="1:7" x14ac:dyDescent="0.25">
      <c r="A591" t="s">
        <v>54</v>
      </c>
      <c r="B591" t="s">
        <v>8</v>
      </c>
      <c r="C591">
        <v>2</v>
      </c>
      <c r="D591">
        <v>2</v>
      </c>
      <c r="E591">
        <v>2</v>
      </c>
      <c r="F591">
        <v>0</v>
      </c>
      <c r="G591">
        <v>0</v>
      </c>
    </row>
    <row r="592" spans="1:7" x14ac:dyDescent="0.25">
      <c r="A592" s="3" t="s">
        <v>54</v>
      </c>
      <c r="B592" s="3" t="s">
        <v>9</v>
      </c>
      <c r="C592" s="3">
        <v>1</v>
      </c>
      <c r="D592" s="3">
        <v>1</v>
      </c>
      <c r="E592" s="3">
        <v>1</v>
      </c>
      <c r="F592" s="3">
        <v>0</v>
      </c>
      <c r="G592" s="3">
        <v>0</v>
      </c>
    </row>
    <row r="593" spans="1:7" x14ac:dyDescent="0.25">
      <c r="A593" t="s">
        <v>54</v>
      </c>
      <c r="B593" t="s">
        <v>10</v>
      </c>
      <c r="C593">
        <v>13</v>
      </c>
      <c r="D593">
        <v>13</v>
      </c>
      <c r="E593">
        <v>13</v>
      </c>
      <c r="F593">
        <v>0</v>
      </c>
      <c r="G593">
        <v>0</v>
      </c>
    </row>
    <row r="594" spans="1:7" x14ac:dyDescent="0.25">
      <c r="A594" s="3" t="s">
        <v>54</v>
      </c>
      <c r="B594" s="3" t="s">
        <v>10</v>
      </c>
      <c r="C594" s="3">
        <v>6</v>
      </c>
      <c r="D594" s="3">
        <v>6</v>
      </c>
      <c r="E594" s="3">
        <v>5</v>
      </c>
      <c r="F594" s="3">
        <v>1</v>
      </c>
      <c r="G594" s="3">
        <v>0</v>
      </c>
    </row>
    <row r="595" spans="1:7" x14ac:dyDescent="0.25">
      <c r="A595" t="s">
        <v>54</v>
      </c>
      <c r="B595" t="s">
        <v>177</v>
      </c>
      <c r="C595">
        <v>5</v>
      </c>
      <c r="D595">
        <v>5</v>
      </c>
      <c r="E595">
        <v>5</v>
      </c>
      <c r="F595">
        <v>0</v>
      </c>
      <c r="G595">
        <v>0</v>
      </c>
    </row>
    <row r="596" spans="1:7" x14ac:dyDescent="0.25">
      <c r="A596" s="3" t="s">
        <v>54</v>
      </c>
      <c r="B596" s="3" t="s">
        <v>177</v>
      </c>
      <c r="C596" s="3">
        <v>3</v>
      </c>
      <c r="D596" s="3">
        <v>3</v>
      </c>
      <c r="E596" s="3">
        <v>2</v>
      </c>
      <c r="F596" s="3">
        <v>1</v>
      </c>
      <c r="G596" s="3">
        <v>0</v>
      </c>
    </row>
    <row r="597" spans="1:7" x14ac:dyDescent="0.25">
      <c r="A597" t="s">
        <v>63</v>
      </c>
      <c r="B597" t="s">
        <v>2</v>
      </c>
      <c r="C597">
        <v>8</v>
      </c>
      <c r="D597">
        <v>8</v>
      </c>
      <c r="E597">
        <v>2</v>
      </c>
      <c r="F597">
        <v>6</v>
      </c>
      <c r="G597">
        <v>0</v>
      </c>
    </row>
    <row r="598" spans="1:7" x14ac:dyDescent="0.25">
      <c r="A598" s="3" t="s">
        <v>63</v>
      </c>
      <c r="B598" s="3" t="s">
        <v>2</v>
      </c>
      <c r="C598" s="3">
        <v>9</v>
      </c>
      <c r="D598" s="3">
        <v>9</v>
      </c>
      <c r="E598" s="3">
        <v>9</v>
      </c>
      <c r="F598" s="3">
        <v>0</v>
      </c>
      <c r="G598" s="3">
        <v>0</v>
      </c>
    </row>
    <row r="599" spans="1:7" x14ac:dyDescent="0.25">
      <c r="A599" t="s">
        <v>63</v>
      </c>
      <c r="B599" t="s">
        <v>5</v>
      </c>
      <c r="C599">
        <v>33</v>
      </c>
      <c r="D599">
        <v>32</v>
      </c>
      <c r="E599">
        <v>29</v>
      </c>
      <c r="F599">
        <v>3</v>
      </c>
      <c r="G599">
        <v>1</v>
      </c>
    </row>
    <row r="600" spans="1:7" x14ac:dyDescent="0.25">
      <c r="A600" s="3" t="s">
        <v>63</v>
      </c>
      <c r="B600" s="3" t="s">
        <v>5</v>
      </c>
      <c r="C600" s="3">
        <v>27</v>
      </c>
      <c r="D600" s="3">
        <v>27</v>
      </c>
      <c r="E600" s="3">
        <v>25</v>
      </c>
      <c r="F600" s="3">
        <v>2</v>
      </c>
      <c r="G600" s="3">
        <v>0</v>
      </c>
    </row>
    <row r="601" spans="1:7" x14ac:dyDescent="0.25">
      <c r="A601" t="s">
        <v>63</v>
      </c>
      <c r="B601" t="s">
        <v>185</v>
      </c>
      <c r="C601">
        <f>30+12</f>
        <v>42</v>
      </c>
      <c r="D601">
        <f>30+12</f>
        <v>42</v>
      </c>
      <c r="E601">
        <f>28+11</f>
        <v>39</v>
      </c>
      <c r="F601">
        <f>2+1</f>
        <v>3</v>
      </c>
      <c r="G601">
        <v>0</v>
      </c>
    </row>
    <row r="602" spans="1:7" x14ac:dyDescent="0.25">
      <c r="A602" s="3" t="s">
        <v>63</v>
      </c>
      <c r="B602" s="3" t="s">
        <v>185</v>
      </c>
      <c r="C602" s="3">
        <v>40</v>
      </c>
      <c r="D602" s="3">
        <v>36</v>
      </c>
      <c r="E602" s="3">
        <f>32+2</f>
        <v>34</v>
      </c>
      <c r="F602" s="3">
        <f>4-2+0</f>
        <v>2</v>
      </c>
      <c r="G602" s="3">
        <v>4</v>
      </c>
    </row>
    <row r="603" spans="1:7" x14ac:dyDescent="0.25">
      <c r="A603" t="s">
        <v>63</v>
      </c>
      <c r="B603" t="s">
        <v>186</v>
      </c>
      <c r="C603">
        <f>31+4</f>
        <v>35</v>
      </c>
      <c r="D603">
        <f>29+4</f>
        <v>33</v>
      </c>
      <c r="E603">
        <f>26+2</f>
        <v>28</v>
      </c>
      <c r="F603">
        <f>3+2</f>
        <v>5</v>
      </c>
      <c r="G603">
        <v>1</v>
      </c>
    </row>
    <row r="604" spans="1:7" x14ac:dyDescent="0.25">
      <c r="A604" s="3" t="s">
        <v>63</v>
      </c>
      <c r="B604" s="3" t="s">
        <v>186</v>
      </c>
      <c r="C604" s="3">
        <v>41</v>
      </c>
      <c r="D604" s="3">
        <v>41</v>
      </c>
      <c r="E604" s="3">
        <f>39+1</f>
        <v>40</v>
      </c>
      <c r="F604" s="3">
        <f>2-1+0</f>
        <v>1</v>
      </c>
      <c r="G604" s="3">
        <v>0</v>
      </c>
    </row>
    <row r="605" spans="1:7" x14ac:dyDescent="0.25">
      <c r="A605" t="s">
        <v>63</v>
      </c>
      <c r="B605" t="s">
        <v>187</v>
      </c>
      <c r="C605">
        <v>26</v>
      </c>
      <c r="D605">
        <v>25</v>
      </c>
      <c r="E605">
        <v>24</v>
      </c>
      <c r="F605">
        <v>1</v>
      </c>
      <c r="G605">
        <v>1</v>
      </c>
    </row>
    <row r="606" spans="1:7" x14ac:dyDescent="0.25">
      <c r="A606" s="3" t="s">
        <v>63</v>
      </c>
      <c r="B606" s="3" t="s">
        <v>187</v>
      </c>
      <c r="C606" s="3">
        <v>15</v>
      </c>
      <c r="D606" s="3">
        <v>15</v>
      </c>
      <c r="E606" s="3">
        <v>14</v>
      </c>
      <c r="F606" s="3">
        <v>1</v>
      </c>
      <c r="G606" s="3">
        <v>0</v>
      </c>
    </row>
    <row r="607" spans="1:7" x14ac:dyDescent="0.25">
      <c r="A607" t="s">
        <v>63</v>
      </c>
      <c r="B607" t="s">
        <v>6</v>
      </c>
      <c r="C607">
        <v>11</v>
      </c>
      <c r="D607">
        <v>11</v>
      </c>
      <c r="E607">
        <v>11</v>
      </c>
      <c r="F607">
        <v>0</v>
      </c>
      <c r="G607">
        <v>0</v>
      </c>
    </row>
    <row r="608" spans="1:7" x14ac:dyDescent="0.25">
      <c r="A608" s="3" t="s">
        <v>63</v>
      </c>
      <c r="B608" s="3" t="s">
        <v>6</v>
      </c>
      <c r="C608" s="3">
        <v>16</v>
      </c>
      <c r="D608" s="3">
        <v>16</v>
      </c>
      <c r="E608" s="3">
        <v>16</v>
      </c>
      <c r="F608" s="3">
        <v>0</v>
      </c>
      <c r="G608" s="3">
        <v>0</v>
      </c>
    </row>
    <row r="609" spans="1:7" x14ac:dyDescent="0.25">
      <c r="A609" t="s">
        <v>63</v>
      </c>
      <c r="B609" t="s">
        <v>7</v>
      </c>
      <c r="C609">
        <v>5</v>
      </c>
      <c r="D609">
        <v>5</v>
      </c>
      <c r="E609">
        <v>5</v>
      </c>
      <c r="F609">
        <v>0</v>
      </c>
      <c r="G609">
        <v>0</v>
      </c>
    </row>
    <row r="610" spans="1:7" x14ac:dyDescent="0.25">
      <c r="A610" s="3" t="s">
        <v>63</v>
      </c>
      <c r="B610" s="3" t="s">
        <v>7</v>
      </c>
      <c r="C610" s="3">
        <v>2</v>
      </c>
      <c r="D610" s="3">
        <v>2</v>
      </c>
      <c r="E610" s="3">
        <v>2</v>
      </c>
      <c r="F610" s="3">
        <v>0</v>
      </c>
      <c r="G610" s="3">
        <v>0</v>
      </c>
    </row>
    <row r="611" spans="1:7" x14ac:dyDescent="0.25">
      <c r="A611" t="s">
        <v>63</v>
      </c>
      <c r="B611" t="s">
        <v>8</v>
      </c>
      <c r="C611">
        <v>11</v>
      </c>
      <c r="D611">
        <v>10</v>
      </c>
      <c r="E611">
        <v>8</v>
      </c>
      <c r="F611">
        <v>2</v>
      </c>
      <c r="G611">
        <v>1</v>
      </c>
    </row>
    <row r="612" spans="1:7" x14ac:dyDescent="0.25">
      <c r="A612" s="3" t="s">
        <v>63</v>
      </c>
      <c r="B612" s="3" t="s">
        <v>8</v>
      </c>
      <c r="C612" s="3">
        <v>12</v>
      </c>
      <c r="D612" s="3">
        <v>12</v>
      </c>
      <c r="E612" s="3">
        <v>9</v>
      </c>
      <c r="F612" s="3">
        <v>3</v>
      </c>
      <c r="G612" s="3">
        <v>0</v>
      </c>
    </row>
    <row r="613" spans="1:7" x14ac:dyDescent="0.25">
      <c r="A613" t="s">
        <v>63</v>
      </c>
      <c r="B613" t="s">
        <v>9</v>
      </c>
      <c r="C613">
        <v>6</v>
      </c>
      <c r="D613">
        <v>6</v>
      </c>
      <c r="E613">
        <v>6</v>
      </c>
      <c r="F613">
        <v>0</v>
      </c>
      <c r="G613">
        <v>0</v>
      </c>
    </row>
    <row r="614" spans="1:7" x14ac:dyDescent="0.25">
      <c r="A614" s="3" t="s">
        <v>63</v>
      </c>
      <c r="B614" s="3" t="s">
        <v>9</v>
      </c>
      <c r="C614" s="3">
        <v>12</v>
      </c>
      <c r="D614" s="3">
        <v>12</v>
      </c>
      <c r="E614" s="3">
        <v>9</v>
      </c>
      <c r="F614" s="3">
        <v>3</v>
      </c>
      <c r="G614" s="3">
        <v>0</v>
      </c>
    </row>
    <row r="615" spans="1:7" x14ac:dyDescent="0.25">
      <c r="A615" t="s">
        <v>63</v>
      </c>
      <c r="B615" t="s">
        <v>10</v>
      </c>
      <c r="C615">
        <v>49</v>
      </c>
      <c r="D615">
        <v>49</v>
      </c>
      <c r="E615">
        <v>49</v>
      </c>
      <c r="F615">
        <v>0</v>
      </c>
      <c r="G615">
        <v>0</v>
      </c>
    </row>
    <row r="616" spans="1:7" x14ac:dyDescent="0.25">
      <c r="A616" s="3" t="s">
        <v>63</v>
      </c>
      <c r="B616" s="3" t="s">
        <v>10</v>
      </c>
      <c r="C616" s="3">
        <v>42</v>
      </c>
      <c r="D616" s="3">
        <v>42</v>
      </c>
      <c r="E616" s="3">
        <v>38</v>
      </c>
      <c r="F616" s="3">
        <v>4</v>
      </c>
      <c r="G616" s="3">
        <v>0</v>
      </c>
    </row>
    <row r="617" spans="1:7" x14ac:dyDescent="0.25">
      <c r="A617" t="s">
        <v>63</v>
      </c>
      <c r="B617" t="s">
        <v>177</v>
      </c>
      <c r="C617">
        <v>30</v>
      </c>
      <c r="D617">
        <v>14</v>
      </c>
      <c r="E617">
        <v>14</v>
      </c>
      <c r="F617">
        <v>0</v>
      </c>
      <c r="G617">
        <v>0</v>
      </c>
    </row>
    <row r="618" spans="1:7" x14ac:dyDescent="0.25">
      <c r="A618" s="3" t="s">
        <v>63</v>
      </c>
      <c r="B618" s="3" t="s">
        <v>177</v>
      </c>
      <c r="C618" s="3">
        <v>23</v>
      </c>
      <c r="D618" s="3">
        <v>4</v>
      </c>
      <c r="E618" s="3">
        <v>4</v>
      </c>
      <c r="F618" s="3">
        <v>0</v>
      </c>
      <c r="G618" s="3">
        <v>0</v>
      </c>
    </row>
    <row r="619" spans="1:7" x14ac:dyDescent="0.25">
      <c r="A619" t="s">
        <v>108</v>
      </c>
      <c r="B619" t="s">
        <v>2</v>
      </c>
      <c r="C619">
        <v>18</v>
      </c>
      <c r="D619">
        <v>7</v>
      </c>
      <c r="E619">
        <v>7</v>
      </c>
      <c r="F619">
        <v>0</v>
      </c>
      <c r="G619">
        <v>0</v>
      </c>
    </row>
    <row r="620" spans="1:7" x14ac:dyDescent="0.25">
      <c r="A620" s="3" t="s">
        <v>108</v>
      </c>
      <c r="B620" s="3" t="s">
        <v>2</v>
      </c>
      <c r="C620" s="3">
        <v>23</v>
      </c>
      <c r="D620" s="3">
        <v>21</v>
      </c>
      <c r="E620" s="3">
        <v>21</v>
      </c>
      <c r="F620" s="3">
        <v>0</v>
      </c>
      <c r="G620" s="3">
        <v>0</v>
      </c>
    </row>
    <row r="621" spans="1:7" x14ac:dyDescent="0.25">
      <c r="A621" t="s">
        <v>108</v>
      </c>
      <c r="B621" t="s">
        <v>4</v>
      </c>
      <c r="C621">
        <v>1</v>
      </c>
      <c r="D621">
        <v>0</v>
      </c>
      <c r="E621">
        <v>0</v>
      </c>
      <c r="F621">
        <v>0</v>
      </c>
      <c r="G621">
        <v>0</v>
      </c>
    </row>
    <row r="622" spans="1:7" x14ac:dyDescent="0.25">
      <c r="A622" t="s">
        <v>108</v>
      </c>
      <c r="B622" t="s">
        <v>5</v>
      </c>
      <c r="C622">
        <v>82</v>
      </c>
      <c r="D622">
        <v>76</v>
      </c>
      <c r="E622">
        <f>72+4</f>
        <v>76</v>
      </c>
      <c r="F622">
        <f>5-5+0</f>
        <v>0</v>
      </c>
      <c r="G622">
        <v>0</v>
      </c>
    </row>
    <row r="623" spans="1:7" x14ac:dyDescent="0.25">
      <c r="A623" s="3" t="s">
        <v>108</v>
      </c>
      <c r="B623" s="3" t="s">
        <v>5</v>
      </c>
      <c r="C623" s="3">
        <v>57</v>
      </c>
      <c r="D623" s="3">
        <v>43</v>
      </c>
      <c r="E623" s="3">
        <v>41</v>
      </c>
      <c r="F623" s="3">
        <v>2</v>
      </c>
      <c r="G623" s="3">
        <v>0</v>
      </c>
    </row>
    <row r="624" spans="1:7" x14ac:dyDescent="0.25">
      <c r="A624" t="s">
        <v>108</v>
      </c>
      <c r="B624" t="s">
        <v>185</v>
      </c>
      <c r="C624">
        <f>73+15</f>
        <v>88</v>
      </c>
      <c r="D624">
        <f>55+14</f>
        <v>69</v>
      </c>
      <c r="E624">
        <f>51+14</f>
        <v>65</v>
      </c>
      <c r="F624">
        <v>4</v>
      </c>
      <c r="G624">
        <v>0</v>
      </c>
    </row>
    <row r="625" spans="1:7" x14ac:dyDescent="0.25">
      <c r="A625" s="3" t="s">
        <v>108</v>
      </c>
      <c r="B625" s="3" t="s">
        <v>185</v>
      </c>
      <c r="C625" s="3">
        <v>41</v>
      </c>
      <c r="D625" s="3">
        <v>33</v>
      </c>
      <c r="E625" s="3">
        <f>27+1</f>
        <v>28</v>
      </c>
      <c r="F625" s="3">
        <f>6-1+0</f>
        <v>5</v>
      </c>
      <c r="G625" s="3">
        <v>0</v>
      </c>
    </row>
    <row r="626" spans="1:7" x14ac:dyDescent="0.25">
      <c r="A626" t="s">
        <v>108</v>
      </c>
      <c r="B626" t="s">
        <v>186</v>
      </c>
      <c r="C626">
        <f>116+15</f>
        <v>131</v>
      </c>
      <c r="D626">
        <f>100+14</f>
        <v>114</v>
      </c>
      <c r="E626">
        <f>84+12</f>
        <v>96</v>
      </c>
      <c r="F626">
        <f>16+2</f>
        <v>18</v>
      </c>
      <c r="G626">
        <v>0</v>
      </c>
    </row>
    <row r="627" spans="1:7" x14ac:dyDescent="0.25">
      <c r="A627" s="3" t="s">
        <v>108</v>
      </c>
      <c r="B627" s="3" t="s">
        <v>186</v>
      </c>
      <c r="C627" s="3">
        <v>102</v>
      </c>
      <c r="D627" s="3">
        <v>83</v>
      </c>
      <c r="E627" s="3">
        <f>58+9</f>
        <v>67</v>
      </c>
      <c r="F627" s="3">
        <f>25-9+0</f>
        <v>16</v>
      </c>
      <c r="G627" s="3">
        <v>0</v>
      </c>
    </row>
    <row r="628" spans="1:7" x14ac:dyDescent="0.25">
      <c r="A628" s="3" t="s">
        <v>108</v>
      </c>
      <c r="B628" s="3" t="s">
        <v>189</v>
      </c>
      <c r="C628" s="3">
        <v>1</v>
      </c>
      <c r="D628" s="3">
        <v>1</v>
      </c>
      <c r="E628" s="3">
        <v>1</v>
      </c>
      <c r="F628" s="3">
        <v>0</v>
      </c>
      <c r="G628" s="3">
        <v>0</v>
      </c>
    </row>
    <row r="629" spans="1:7" x14ac:dyDescent="0.25">
      <c r="A629" t="s">
        <v>108</v>
      </c>
      <c r="B629" t="s">
        <v>187</v>
      </c>
      <c r="C629">
        <f>90+1</f>
        <v>91</v>
      </c>
      <c r="D629">
        <f>72+1</f>
        <v>73</v>
      </c>
      <c r="E629">
        <f>59+1</f>
        <v>60</v>
      </c>
      <c r="F629">
        <v>13</v>
      </c>
      <c r="G629">
        <v>0</v>
      </c>
    </row>
    <row r="630" spans="1:7" x14ac:dyDescent="0.25">
      <c r="A630" s="3" t="s">
        <v>108</v>
      </c>
      <c r="B630" s="3" t="s">
        <v>187</v>
      </c>
      <c r="C630" s="3">
        <v>75</v>
      </c>
      <c r="D630" s="3">
        <v>62</v>
      </c>
      <c r="E630" s="3">
        <f>52+4</f>
        <v>56</v>
      </c>
      <c r="F630" s="3">
        <f>10-4+0</f>
        <v>6</v>
      </c>
      <c r="G630" s="3">
        <v>0</v>
      </c>
    </row>
    <row r="631" spans="1:7" x14ac:dyDescent="0.25">
      <c r="A631" t="s">
        <v>108</v>
      </c>
      <c r="B631" t="s">
        <v>6</v>
      </c>
      <c r="C631">
        <v>44</v>
      </c>
      <c r="D631">
        <v>35</v>
      </c>
      <c r="E631">
        <v>34</v>
      </c>
      <c r="F631">
        <v>1</v>
      </c>
      <c r="G631">
        <v>0</v>
      </c>
    </row>
    <row r="632" spans="1:7" x14ac:dyDescent="0.25">
      <c r="A632" s="3" t="s">
        <v>108</v>
      </c>
      <c r="B632" s="3" t="s">
        <v>6</v>
      </c>
      <c r="C632" s="3">
        <v>28</v>
      </c>
      <c r="D632" s="3">
        <v>23</v>
      </c>
      <c r="E632" s="3">
        <v>23</v>
      </c>
      <c r="F632" s="3">
        <v>0</v>
      </c>
      <c r="G632" s="3">
        <v>0</v>
      </c>
    </row>
    <row r="633" spans="1:7" x14ac:dyDescent="0.25">
      <c r="A633" t="s">
        <v>108</v>
      </c>
      <c r="B633" t="s">
        <v>7</v>
      </c>
      <c r="C633">
        <v>15</v>
      </c>
      <c r="D633">
        <v>12</v>
      </c>
      <c r="E633">
        <v>12</v>
      </c>
      <c r="F633">
        <v>0</v>
      </c>
      <c r="G633">
        <v>0</v>
      </c>
    </row>
    <row r="634" spans="1:7" x14ac:dyDescent="0.25">
      <c r="A634" s="3" t="s">
        <v>108</v>
      </c>
      <c r="B634" s="3" t="s">
        <v>7</v>
      </c>
      <c r="C634" s="3">
        <v>3</v>
      </c>
      <c r="D634" s="3">
        <v>0</v>
      </c>
      <c r="E634" s="3">
        <v>0</v>
      </c>
      <c r="F634" s="3">
        <v>0</v>
      </c>
      <c r="G634" s="3">
        <v>0</v>
      </c>
    </row>
    <row r="635" spans="1:7" x14ac:dyDescent="0.25">
      <c r="A635" t="s">
        <v>108</v>
      </c>
      <c r="B635" t="s">
        <v>8</v>
      </c>
      <c r="C635">
        <v>28</v>
      </c>
      <c r="D635">
        <v>14</v>
      </c>
      <c r="E635">
        <v>14</v>
      </c>
      <c r="F635">
        <v>0</v>
      </c>
      <c r="G635">
        <v>0</v>
      </c>
    </row>
    <row r="636" spans="1:7" x14ac:dyDescent="0.25">
      <c r="A636" s="3" t="s">
        <v>108</v>
      </c>
      <c r="B636" s="3" t="s">
        <v>8</v>
      </c>
      <c r="C636" s="3">
        <v>18</v>
      </c>
      <c r="D636" s="3">
        <v>2</v>
      </c>
      <c r="E636" s="3">
        <v>0</v>
      </c>
      <c r="F636" s="3">
        <v>2</v>
      </c>
      <c r="G636" s="3">
        <v>0</v>
      </c>
    </row>
    <row r="637" spans="1:7" x14ac:dyDescent="0.25">
      <c r="A637" t="s">
        <v>108</v>
      </c>
      <c r="B637" t="s">
        <v>9</v>
      </c>
      <c r="C637">
        <v>15</v>
      </c>
      <c r="D637">
        <v>8</v>
      </c>
      <c r="E637">
        <v>8</v>
      </c>
      <c r="F637">
        <v>0</v>
      </c>
      <c r="G637">
        <v>0</v>
      </c>
    </row>
    <row r="638" spans="1:7" x14ac:dyDescent="0.25">
      <c r="A638" s="3" t="s">
        <v>108</v>
      </c>
      <c r="B638" s="3" t="s">
        <v>9</v>
      </c>
      <c r="C638" s="3">
        <v>5</v>
      </c>
      <c r="D638" s="3">
        <v>0</v>
      </c>
      <c r="E638" s="3">
        <v>0</v>
      </c>
      <c r="F638" s="3">
        <v>0</v>
      </c>
      <c r="G638" s="3">
        <v>0</v>
      </c>
    </row>
    <row r="639" spans="1:7" x14ac:dyDescent="0.25">
      <c r="A639" t="s">
        <v>108</v>
      </c>
      <c r="B639" t="s">
        <v>10</v>
      </c>
      <c r="C639">
        <v>97</v>
      </c>
      <c r="D639">
        <v>86</v>
      </c>
      <c r="E639">
        <v>85</v>
      </c>
      <c r="F639">
        <v>1</v>
      </c>
      <c r="G639">
        <v>0</v>
      </c>
    </row>
    <row r="640" spans="1:7" x14ac:dyDescent="0.25">
      <c r="A640" s="3" t="s">
        <v>108</v>
      </c>
      <c r="B640" s="3" t="s">
        <v>10</v>
      </c>
      <c r="C640" s="3">
        <v>58</v>
      </c>
      <c r="D640" s="3">
        <v>53</v>
      </c>
      <c r="E640" s="3">
        <v>51</v>
      </c>
      <c r="F640" s="3">
        <v>2</v>
      </c>
      <c r="G640" s="3">
        <v>0</v>
      </c>
    </row>
    <row r="641" spans="1:7" x14ac:dyDescent="0.25">
      <c r="A641" t="s">
        <v>108</v>
      </c>
      <c r="B641" t="s">
        <v>177</v>
      </c>
      <c r="C641">
        <v>90</v>
      </c>
      <c r="D641">
        <v>67</v>
      </c>
      <c r="E641">
        <v>67</v>
      </c>
      <c r="F641">
        <v>0</v>
      </c>
      <c r="G641">
        <v>0</v>
      </c>
    </row>
    <row r="642" spans="1:7" x14ac:dyDescent="0.25">
      <c r="A642" s="3" t="s">
        <v>108</v>
      </c>
      <c r="B642" s="3" t="s">
        <v>177</v>
      </c>
      <c r="C642" s="3">
        <v>32</v>
      </c>
      <c r="D642" s="3">
        <v>2</v>
      </c>
      <c r="E642" s="3">
        <v>2</v>
      </c>
      <c r="F642" s="3">
        <v>0</v>
      </c>
      <c r="G642" s="3">
        <v>0</v>
      </c>
    </row>
    <row r="643" spans="1:7" x14ac:dyDescent="0.25">
      <c r="A643" t="s">
        <v>91</v>
      </c>
      <c r="B643" t="s">
        <v>2</v>
      </c>
      <c r="C643">
        <v>2</v>
      </c>
      <c r="D643">
        <v>2</v>
      </c>
      <c r="E643">
        <v>2</v>
      </c>
      <c r="F643">
        <v>0</v>
      </c>
      <c r="G643">
        <v>0</v>
      </c>
    </row>
    <row r="644" spans="1:7" x14ac:dyDescent="0.25">
      <c r="A644" s="3" t="s">
        <v>91</v>
      </c>
      <c r="B644" s="3" t="s">
        <v>2</v>
      </c>
      <c r="C644" s="3">
        <v>1</v>
      </c>
      <c r="D644" s="3">
        <v>1</v>
      </c>
      <c r="E644" s="3">
        <v>1</v>
      </c>
      <c r="F644" s="3">
        <v>0</v>
      </c>
      <c r="G644" s="3">
        <v>0</v>
      </c>
    </row>
    <row r="645" spans="1:7" x14ac:dyDescent="0.25">
      <c r="A645" t="s">
        <v>91</v>
      </c>
      <c r="B645" t="s">
        <v>5</v>
      </c>
      <c r="C645">
        <v>21</v>
      </c>
      <c r="D645">
        <v>21</v>
      </c>
      <c r="E645">
        <v>16</v>
      </c>
      <c r="F645">
        <v>5</v>
      </c>
      <c r="G645">
        <v>0</v>
      </c>
    </row>
    <row r="646" spans="1:7" x14ac:dyDescent="0.25">
      <c r="A646" s="3" t="s">
        <v>91</v>
      </c>
      <c r="B646" s="3" t="s">
        <v>5</v>
      </c>
      <c r="C646" s="3">
        <v>7</v>
      </c>
      <c r="D646" s="3">
        <v>7</v>
      </c>
      <c r="E646" s="3">
        <v>5</v>
      </c>
      <c r="F646" s="3">
        <v>2</v>
      </c>
      <c r="G646" s="3">
        <v>0</v>
      </c>
    </row>
    <row r="647" spans="1:7" x14ac:dyDescent="0.25">
      <c r="A647" t="s">
        <v>91</v>
      </c>
      <c r="B647" t="s">
        <v>185</v>
      </c>
      <c r="C647">
        <f>47+3</f>
        <v>50</v>
      </c>
      <c r="D647">
        <f>47+3</f>
        <v>50</v>
      </c>
      <c r="E647">
        <f>48+1</f>
        <v>49</v>
      </c>
      <c r="F647">
        <f>2-1+0</f>
        <v>1</v>
      </c>
      <c r="G647">
        <v>0</v>
      </c>
    </row>
    <row r="648" spans="1:7" x14ac:dyDescent="0.25">
      <c r="A648" s="3" t="s">
        <v>91</v>
      </c>
      <c r="B648" s="3" t="s">
        <v>185</v>
      </c>
      <c r="C648" s="3">
        <v>37</v>
      </c>
      <c r="D648" s="3">
        <v>36</v>
      </c>
      <c r="E648" s="3">
        <v>36</v>
      </c>
      <c r="F648" s="3">
        <v>0</v>
      </c>
      <c r="G648" s="3">
        <v>1</v>
      </c>
    </row>
    <row r="649" spans="1:7" x14ac:dyDescent="0.25">
      <c r="A649" t="s">
        <v>91</v>
      </c>
      <c r="B649" t="s">
        <v>186</v>
      </c>
      <c r="C649">
        <f>81+6</f>
        <v>87</v>
      </c>
      <c r="D649">
        <v>85</v>
      </c>
      <c r="E649">
        <f>69+10</f>
        <v>79</v>
      </c>
      <c r="F649">
        <f>17-13+2</f>
        <v>6</v>
      </c>
      <c r="G649">
        <v>0</v>
      </c>
    </row>
    <row r="650" spans="1:7" x14ac:dyDescent="0.25">
      <c r="A650" s="3" t="s">
        <v>91</v>
      </c>
      <c r="B650" s="3" t="s">
        <v>186</v>
      </c>
      <c r="C650" s="3">
        <v>41</v>
      </c>
      <c r="D650" s="3">
        <v>36</v>
      </c>
      <c r="E650" s="3">
        <v>31</v>
      </c>
      <c r="F650" s="3">
        <v>5</v>
      </c>
      <c r="G650" s="3">
        <v>1</v>
      </c>
    </row>
    <row r="651" spans="1:7" x14ac:dyDescent="0.25">
      <c r="A651" t="s">
        <v>91</v>
      </c>
      <c r="B651" t="s">
        <v>189</v>
      </c>
      <c r="C651">
        <v>1</v>
      </c>
      <c r="D651">
        <v>1</v>
      </c>
      <c r="E651">
        <v>1</v>
      </c>
      <c r="F651">
        <v>0</v>
      </c>
      <c r="G651">
        <v>0</v>
      </c>
    </row>
    <row r="652" spans="1:7" x14ac:dyDescent="0.25">
      <c r="A652" t="s">
        <v>91</v>
      </c>
      <c r="B652" t="s">
        <v>187</v>
      </c>
      <c r="C652">
        <f>118+2</f>
        <v>120</v>
      </c>
      <c r="D652">
        <f>117+2</f>
        <v>119</v>
      </c>
      <c r="E652">
        <f>104+2</f>
        <v>106</v>
      </c>
      <c r="F652">
        <v>13</v>
      </c>
      <c r="G652">
        <v>0</v>
      </c>
    </row>
    <row r="653" spans="1:7" x14ac:dyDescent="0.25">
      <c r="A653" s="3" t="s">
        <v>91</v>
      </c>
      <c r="B653" s="3" t="s">
        <v>187</v>
      </c>
      <c r="C653" s="3">
        <v>68</v>
      </c>
      <c r="D653" s="3">
        <v>65</v>
      </c>
      <c r="E653" s="3">
        <f>57+3</f>
        <v>60</v>
      </c>
      <c r="F653" s="3">
        <f>8-4+1</f>
        <v>5</v>
      </c>
      <c r="G653" s="3">
        <v>0</v>
      </c>
    </row>
    <row r="654" spans="1:7" x14ac:dyDescent="0.25">
      <c r="A654" t="s">
        <v>91</v>
      </c>
      <c r="B654" t="s">
        <v>6</v>
      </c>
      <c r="C654">
        <v>1</v>
      </c>
      <c r="D654">
        <v>1</v>
      </c>
      <c r="E654">
        <v>1</v>
      </c>
      <c r="F654">
        <v>0</v>
      </c>
      <c r="G654">
        <v>0</v>
      </c>
    </row>
    <row r="655" spans="1:7" x14ac:dyDescent="0.25">
      <c r="A655" s="3" t="s">
        <v>91</v>
      </c>
      <c r="B655" s="3" t="s">
        <v>6</v>
      </c>
      <c r="C655" s="3">
        <v>3</v>
      </c>
      <c r="D655" s="3">
        <v>3</v>
      </c>
      <c r="E655" s="3">
        <v>3</v>
      </c>
      <c r="F655" s="3">
        <v>0</v>
      </c>
      <c r="G655" s="3">
        <v>0</v>
      </c>
    </row>
    <row r="656" spans="1:7" x14ac:dyDescent="0.25">
      <c r="A656" t="s">
        <v>91</v>
      </c>
      <c r="B656" t="s">
        <v>7</v>
      </c>
      <c r="C656">
        <v>6</v>
      </c>
      <c r="D656">
        <v>4</v>
      </c>
      <c r="E656">
        <v>3</v>
      </c>
      <c r="F656">
        <v>1</v>
      </c>
      <c r="G656">
        <v>0</v>
      </c>
    </row>
    <row r="657" spans="1:7" x14ac:dyDescent="0.25">
      <c r="A657" s="3" t="s">
        <v>91</v>
      </c>
      <c r="B657" s="3" t="s">
        <v>7</v>
      </c>
      <c r="C657" s="3">
        <v>1</v>
      </c>
      <c r="D657" s="3">
        <v>1</v>
      </c>
      <c r="E657" s="3">
        <v>1</v>
      </c>
      <c r="F657" s="3">
        <v>0</v>
      </c>
      <c r="G657" s="3">
        <v>0</v>
      </c>
    </row>
    <row r="658" spans="1:7" x14ac:dyDescent="0.25">
      <c r="A658" t="s">
        <v>91</v>
      </c>
      <c r="B658" t="s">
        <v>8</v>
      </c>
      <c r="C658">
        <v>20</v>
      </c>
      <c r="D658">
        <v>19</v>
      </c>
      <c r="E658">
        <v>19</v>
      </c>
      <c r="F658">
        <v>0</v>
      </c>
      <c r="G658">
        <v>0</v>
      </c>
    </row>
    <row r="659" spans="1:7" x14ac:dyDescent="0.25">
      <c r="A659" s="3" t="s">
        <v>91</v>
      </c>
      <c r="B659" s="3" t="s">
        <v>8</v>
      </c>
      <c r="C659" s="3">
        <v>19</v>
      </c>
      <c r="D659" s="3">
        <v>18</v>
      </c>
      <c r="E659" s="3">
        <v>14</v>
      </c>
      <c r="F659" s="3">
        <v>4</v>
      </c>
      <c r="G659" s="3">
        <v>0</v>
      </c>
    </row>
    <row r="660" spans="1:7" x14ac:dyDescent="0.25">
      <c r="A660" t="s">
        <v>91</v>
      </c>
      <c r="B660" t="s">
        <v>9</v>
      </c>
      <c r="C660">
        <v>18</v>
      </c>
      <c r="D660">
        <v>16</v>
      </c>
      <c r="E660">
        <v>15</v>
      </c>
      <c r="F660">
        <v>1</v>
      </c>
      <c r="G660">
        <v>0</v>
      </c>
    </row>
    <row r="661" spans="1:7" x14ac:dyDescent="0.25">
      <c r="A661" s="3" t="s">
        <v>91</v>
      </c>
      <c r="B661" s="3" t="s">
        <v>9</v>
      </c>
      <c r="C661" s="3">
        <v>6</v>
      </c>
      <c r="D661" s="3">
        <v>5</v>
      </c>
      <c r="E661" s="3">
        <v>5</v>
      </c>
      <c r="F661" s="3">
        <v>0</v>
      </c>
      <c r="G661" s="3">
        <v>0</v>
      </c>
    </row>
    <row r="662" spans="1:7" x14ac:dyDescent="0.25">
      <c r="A662" t="s">
        <v>91</v>
      </c>
      <c r="B662" t="s">
        <v>10</v>
      </c>
      <c r="C662">
        <v>93</v>
      </c>
      <c r="D662">
        <v>92</v>
      </c>
      <c r="E662">
        <v>88</v>
      </c>
      <c r="F662">
        <v>4</v>
      </c>
      <c r="G662">
        <v>0</v>
      </c>
    </row>
    <row r="663" spans="1:7" x14ac:dyDescent="0.25">
      <c r="A663" s="3" t="s">
        <v>91</v>
      </c>
      <c r="B663" s="3" t="s">
        <v>10</v>
      </c>
      <c r="C663" s="3">
        <v>77</v>
      </c>
      <c r="D663" s="3">
        <v>77</v>
      </c>
      <c r="E663" s="3">
        <v>73</v>
      </c>
      <c r="F663" s="3">
        <v>4</v>
      </c>
      <c r="G663" s="3">
        <v>0</v>
      </c>
    </row>
    <row r="664" spans="1:7" x14ac:dyDescent="0.25">
      <c r="A664" t="s">
        <v>91</v>
      </c>
      <c r="B664" t="s">
        <v>177</v>
      </c>
      <c r="C664">
        <v>12</v>
      </c>
      <c r="D664">
        <v>12</v>
      </c>
      <c r="E664">
        <v>12</v>
      </c>
      <c r="F664">
        <v>0</v>
      </c>
      <c r="G664">
        <v>0</v>
      </c>
    </row>
    <row r="665" spans="1:7" x14ac:dyDescent="0.25">
      <c r="A665" s="3" t="s">
        <v>91</v>
      </c>
      <c r="B665" s="3" t="s">
        <v>177</v>
      </c>
      <c r="C665" s="3">
        <v>6</v>
      </c>
      <c r="D665" s="3">
        <v>4</v>
      </c>
      <c r="E665" s="3">
        <v>4</v>
      </c>
      <c r="F665" s="3">
        <v>0</v>
      </c>
      <c r="G665" s="3">
        <v>0</v>
      </c>
    </row>
    <row r="666" spans="1:7" x14ac:dyDescent="0.25">
      <c r="A666" t="s">
        <v>110</v>
      </c>
      <c r="B666" t="s">
        <v>2</v>
      </c>
      <c r="C666">
        <v>7</v>
      </c>
      <c r="D666">
        <v>5</v>
      </c>
      <c r="E666">
        <v>5</v>
      </c>
      <c r="F666">
        <v>0</v>
      </c>
      <c r="G666">
        <v>0</v>
      </c>
    </row>
    <row r="667" spans="1:7" x14ac:dyDescent="0.25">
      <c r="A667" s="3" t="s">
        <v>110</v>
      </c>
      <c r="B667" s="3" t="s">
        <v>2</v>
      </c>
      <c r="C667" s="3">
        <v>3</v>
      </c>
      <c r="D667" s="3">
        <v>1</v>
      </c>
      <c r="E667" s="3">
        <v>1</v>
      </c>
      <c r="F667" s="3">
        <v>0</v>
      </c>
      <c r="G667" s="3">
        <v>0</v>
      </c>
    </row>
    <row r="668" spans="1:7" x14ac:dyDescent="0.25">
      <c r="A668" t="s">
        <v>110</v>
      </c>
      <c r="B668" t="s">
        <v>4</v>
      </c>
      <c r="C668">
        <v>1</v>
      </c>
      <c r="D668">
        <v>0</v>
      </c>
      <c r="E668">
        <v>0</v>
      </c>
      <c r="F668">
        <v>0</v>
      </c>
      <c r="G668">
        <v>0</v>
      </c>
    </row>
    <row r="669" spans="1:7" x14ac:dyDescent="0.25">
      <c r="A669" t="s">
        <v>110</v>
      </c>
      <c r="B669" t="s">
        <v>5</v>
      </c>
      <c r="C669">
        <v>19</v>
      </c>
      <c r="D669">
        <v>19</v>
      </c>
      <c r="E669">
        <f>15+3</f>
        <v>18</v>
      </c>
      <c r="F669">
        <f>4-3+0</f>
        <v>1</v>
      </c>
      <c r="G669">
        <v>0</v>
      </c>
    </row>
    <row r="670" spans="1:7" x14ac:dyDescent="0.25">
      <c r="A670" s="3" t="s">
        <v>110</v>
      </c>
      <c r="B670" s="3" t="s">
        <v>5</v>
      </c>
      <c r="C670" s="3">
        <v>18</v>
      </c>
      <c r="D670" s="3">
        <v>18</v>
      </c>
      <c r="E670" s="3">
        <v>17</v>
      </c>
      <c r="F670" s="3">
        <v>1</v>
      </c>
      <c r="G670" s="3">
        <v>0</v>
      </c>
    </row>
    <row r="671" spans="1:7" x14ac:dyDescent="0.25">
      <c r="A671" t="s">
        <v>110</v>
      </c>
      <c r="B671" t="s">
        <v>185</v>
      </c>
      <c r="C671">
        <f>22+7</f>
        <v>29</v>
      </c>
      <c r="D671">
        <f>22+7</f>
        <v>29</v>
      </c>
      <c r="E671">
        <f>18+5</f>
        <v>23</v>
      </c>
      <c r="F671">
        <f>11-6+1</f>
        <v>6</v>
      </c>
      <c r="G671">
        <v>0</v>
      </c>
    </row>
    <row r="672" spans="1:7" x14ac:dyDescent="0.25">
      <c r="A672" s="3" t="s">
        <v>110</v>
      </c>
      <c r="B672" s="3" t="s">
        <v>185</v>
      </c>
      <c r="C672" s="3">
        <v>19</v>
      </c>
      <c r="D672" s="3">
        <v>18</v>
      </c>
      <c r="E672" s="3">
        <v>16</v>
      </c>
      <c r="F672" s="3">
        <v>2</v>
      </c>
      <c r="G672" s="3">
        <v>0</v>
      </c>
    </row>
    <row r="673" spans="1:7" x14ac:dyDescent="0.25">
      <c r="A673" t="s">
        <v>110</v>
      </c>
      <c r="B673" t="s">
        <v>186</v>
      </c>
      <c r="C673">
        <v>27</v>
      </c>
      <c r="D673">
        <v>26</v>
      </c>
      <c r="E673">
        <f>15+8</f>
        <v>23</v>
      </c>
      <c r="F673">
        <f>11-8+0</f>
        <v>3</v>
      </c>
      <c r="G673">
        <v>0</v>
      </c>
    </row>
    <row r="674" spans="1:7" x14ac:dyDescent="0.25">
      <c r="A674" s="3" t="s">
        <v>110</v>
      </c>
      <c r="B674" s="3" t="s">
        <v>186</v>
      </c>
      <c r="C674" s="3">
        <v>29</v>
      </c>
      <c r="D674" s="3">
        <v>27</v>
      </c>
      <c r="E674" s="3">
        <v>22</v>
      </c>
      <c r="F674" s="3">
        <v>5</v>
      </c>
      <c r="G674" s="3">
        <v>2</v>
      </c>
    </row>
    <row r="675" spans="1:7" x14ac:dyDescent="0.25">
      <c r="A675" t="s">
        <v>110</v>
      </c>
      <c r="B675" t="s">
        <v>187</v>
      </c>
      <c r="C675">
        <v>32</v>
      </c>
      <c r="D675">
        <v>32</v>
      </c>
      <c r="E675">
        <f>19+7</f>
        <v>26</v>
      </c>
      <c r="F675">
        <f>13-8+1</f>
        <v>6</v>
      </c>
      <c r="G675">
        <v>0</v>
      </c>
    </row>
    <row r="676" spans="1:7" x14ac:dyDescent="0.25">
      <c r="A676" s="3" t="s">
        <v>110</v>
      </c>
      <c r="B676" s="3" t="s">
        <v>187</v>
      </c>
      <c r="C676" s="3">
        <v>24</v>
      </c>
      <c r="D676" s="3">
        <v>23</v>
      </c>
      <c r="E676" s="3">
        <v>20</v>
      </c>
      <c r="F676" s="3">
        <v>3</v>
      </c>
      <c r="G676" s="3">
        <v>0</v>
      </c>
    </row>
    <row r="677" spans="1:7" x14ac:dyDescent="0.25">
      <c r="A677" t="s">
        <v>110</v>
      </c>
      <c r="B677" t="s">
        <v>6</v>
      </c>
      <c r="C677">
        <v>57</v>
      </c>
      <c r="D677">
        <v>57</v>
      </c>
      <c r="E677">
        <v>56</v>
      </c>
      <c r="F677">
        <v>1</v>
      </c>
      <c r="G677">
        <v>0</v>
      </c>
    </row>
    <row r="678" spans="1:7" x14ac:dyDescent="0.25">
      <c r="A678" s="3" t="s">
        <v>110</v>
      </c>
      <c r="B678" s="3" t="s">
        <v>6</v>
      </c>
      <c r="C678" s="3">
        <v>37</v>
      </c>
      <c r="D678" s="3">
        <v>37</v>
      </c>
      <c r="E678" s="3">
        <v>37</v>
      </c>
      <c r="F678" s="3">
        <v>0</v>
      </c>
      <c r="G678" s="3">
        <v>0</v>
      </c>
    </row>
    <row r="679" spans="1:7" x14ac:dyDescent="0.25">
      <c r="A679" t="s">
        <v>110</v>
      </c>
      <c r="B679" t="s">
        <v>7</v>
      </c>
      <c r="C679">
        <v>4</v>
      </c>
      <c r="D679">
        <v>4</v>
      </c>
      <c r="E679">
        <v>3</v>
      </c>
      <c r="F679">
        <v>1</v>
      </c>
      <c r="G679">
        <v>0</v>
      </c>
    </row>
    <row r="680" spans="1:7" x14ac:dyDescent="0.25">
      <c r="A680" s="3" t="s">
        <v>110</v>
      </c>
      <c r="B680" s="3" t="s">
        <v>7</v>
      </c>
      <c r="C680" s="3">
        <v>4</v>
      </c>
      <c r="D680" s="3">
        <v>4</v>
      </c>
      <c r="E680" s="3">
        <v>3</v>
      </c>
      <c r="F680" s="3">
        <v>1</v>
      </c>
      <c r="G680" s="3">
        <v>0</v>
      </c>
    </row>
    <row r="681" spans="1:7" x14ac:dyDescent="0.25">
      <c r="A681" t="s">
        <v>110</v>
      </c>
      <c r="B681" t="s">
        <v>8</v>
      </c>
      <c r="C681">
        <v>14</v>
      </c>
      <c r="D681">
        <v>13</v>
      </c>
      <c r="E681">
        <v>9</v>
      </c>
      <c r="F681">
        <v>4</v>
      </c>
      <c r="G681">
        <v>0</v>
      </c>
    </row>
    <row r="682" spans="1:7" x14ac:dyDescent="0.25">
      <c r="A682" s="3" t="s">
        <v>110</v>
      </c>
      <c r="B682" s="3" t="s">
        <v>8</v>
      </c>
      <c r="C682" s="3">
        <v>11</v>
      </c>
      <c r="D682" s="3">
        <v>11</v>
      </c>
      <c r="E682" s="3">
        <v>9</v>
      </c>
      <c r="F682" s="3">
        <v>2</v>
      </c>
      <c r="G682" s="3">
        <v>0</v>
      </c>
    </row>
    <row r="683" spans="1:7" x14ac:dyDescent="0.25">
      <c r="A683" t="s">
        <v>110</v>
      </c>
      <c r="B683" t="s">
        <v>9</v>
      </c>
      <c r="C683">
        <v>6</v>
      </c>
      <c r="D683">
        <v>6</v>
      </c>
      <c r="E683">
        <v>6</v>
      </c>
      <c r="F683">
        <v>0</v>
      </c>
      <c r="G683">
        <v>0</v>
      </c>
    </row>
    <row r="684" spans="1:7" x14ac:dyDescent="0.25">
      <c r="A684" s="3" t="s">
        <v>110</v>
      </c>
      <c r="B684" s="3" t="s">
        <v>9</v>
      </c>
      <c r="C684" s="3">
        <v>5</v>
      </c>
      <c r="D684" s="3">
        <v>5</v>
      </c>
      <c r="E684" s="3">
        <v>5</v>
      </c>
      <c r="F684" s="3">
        <v>0</v>
      </c>
      <c r="G684" s="3">
        <v>0</v>
      </c>
    </row>
    <row r="685" spans="1:7" x14ac:dyDescent="0.25">
      <c r="A685" t="s">
        <v>110</v>
      </c>
      <c r="B685" t="s">
        <v>10</v>
      </c>
      <c r="C685">
        <v>29</v>
      </c>
      <c r="D685">
        <v>29</v>
      </c>
      <c r="E685">
        <v>27</v>
      </c>
      <c r="F685">
        <v>2</v>
      </c>
      <c r="G685">
        <v>0</v>
      </c>
    </row>
    <row r="686" spans="1:7" x14ac:dyDescent="0.25">
      <c r="A686" s="3" t="s">
        <v>110</v>
      </c>
      <c r="B686" s="3" t="s">
        <v>10</v>
      </c>
      <c r="C686" s="3">
        <v>22</v>
      </c>
      <c r="D686" s="3">
        <v>22</v>
      </c>
      <c r="E686" s="3">
        <v>21</v>
      </c>
      <c r="F686" s="3">
        <v>1</v>
      </c>
      <c r="G686" s="3">
        <v>0</v>
      </c>
    </row>
    <row r="687" spans="1:7" x14ac:dyDescent="0.25">
      <c r="A687" t="s">
        <v>110</v>
      </c>
      <c r="B687" t="s">
        <v>177</v>
      </c>
      <c r="C687">
        <v>18</v>
      </c>
      <c r="D687">
        <v>18</v>
      </c>
      <c r="E687">
        <v>9</v>
      </c>
      <c r="F687">
        <v>9</v>
      </c>
      <c r="G687">
        <v>0</v>
      </c>
    </row>
    <row r="688" spans="1:7" x14ac:dyDescent="0.25">
      <c r="A688" s="3" t="s">
        <v>110</v>
      </c>
      <c r="B688" s="3" t="s">
        <v>177</v>
      </c>
      <c r="C688" s="3">
        <v>15</v>
      </c>
      <c r="D688" s="3">
        <v>15</v>
      </c>
      <c r="E688" s="3">
        <v>15</v>
      </c>
      <c r="F688" s="3">
        <v>0</v>
      </c>
      <c r="G688" s="3">
        <v>0</v>
      </c>
    </row>
    <row r="689" spans="1:7" x14ac:dyDescent="0.25">
      <c r="A689" t="s">
        <v>99</v>
      </c>
      <c r="B689" t="s">
        <v>2</v>
      </c>
      <c r="C689">
        <v>2</v>
      </c>
      <c r="D689">
        <v>2</v>
      </c>
      <c r="E689">
        <v>1</v>
      </c>
      <c r="F689">
        <v>1</v>
      </c>
      <c r="G689">
        <v>0</v>
      </c>
    </row>
    <row r="690" spans="1:7" x14ac:dyDescent="0.25">
      <c r="A690" s="3" t="s">
        <v>99</v>
      </c>
      <c r="B690" s="3" t="s">
        <v>2</v>
      </c>
      <c r="C690" s="3">
        <v>3</v>
      </c>
      <c r="D690" s="3">
        <v>3</v>
      </c>
      <c r="E690" s="3">
        <v>0</v>
      </c>
      <c r="F690" s="3">
        <v>3</v>
      </c>
      <c r="G690" s="3">
        <v>0</v>
      </c>
    </row>
    <row r="691" spans="1:7" x14ac:dyDescent="0.25">
      <c r="A691" t="s">
        <v>99</v>
      </c>
      <c r="B691" t="s">
        <v>97</v>
      </c>
      <c r="C691">
        <v>1</v>
      </c>
      <c r="D691">
        <v>0</v>
      </c>
      <c r="E691">
        <v>0</v>
      </c>
      <c r="F691">
        <v>0</v>
      </c>
      <c r="G691">
        <v>0</v>
      </c>
    </row>
    <row r="692" spans="1:7" x14ac:dyDescent="0.25">
      <c r="A692" t="s">
        <v>99</v>
      </c>
      <c r="B692" t="s">
        <v>4</v>
      </c>
      <c r="C692">
        <v>2</v>
      </c>
      <c r="D692">
        <v>0</v>
      </c>
      <c r="E692">
        <v>0</v>
      </c>
      <c r="F692">
        <v>0</v>
      </c>
      <c r="G692">
        <v>0</v>
      </c>
    </row>
    <row r="693" spans="1:7" x14ac:dyDescent="0.25">
      <c r="A693" t="s">
        <v>99</v>
      </c>
      <c r="B693" t="s">
        <v>5</v>
      </c>
      <c r="C693">
        <v>8</v>
      </c>
      <c r="D693">
        <v>8</v>
      </c>
      <c r="E693">
        <v>6</v>
      </c>
      <c r="F693">
        <v>2</v>
      </c>
      <c r="G693">
        <v>0</v>
      </c>
    </row>
    <row r="694" spans="1:7" x14ac:dyDescent="0.25">
      <c r="A694" t="s">
        <v>99</v>
      </c>
      <c r="B694" t="s">
        <v>185</v>
      </c>
      <c r="C694">
        <f>10+2</f>
        <v>12</v>
      </c>
      <c r="D694">
        <f>6+2</f>
        <v>8</v>
      </c>
      <c r="E694">
        <f>3+2</f>
        <v>5</v>
      </c>
      <c r="F694">
        <f>5-2+0</f>
        <v>3</v>
      </c>
      <c r="G694">
        <v>0</v>
      </c>
    </row>
    <row r="695" spans="1:7" x14ac:dyDescent="0.25">
      <c r="A695" s="3" t="s">
        <v>99</v>
      </c>
      <c r="B695" s="3" t="s">
        <v>185</v>
      </c>
      <c r="C695" s="3">
        <v>11</v>
      </c>
      <c r="D695" s="3">
        <v>8</v>
      </c>
      <c r="E695" s="3">
        <v>7</v>
      </c>
      <c r="F695" s="3">
        <v>1</v>
      </c>
      <c r="G695" s="3">
        <v>0</v>
      </c>
    </row>
    <row r="696" spans="1:7" x14ac:dyDescent="0.25">
      <c r="A696" t="s">
        <v>99</v>
      </c>
      <c r="B696" t="s">
        <v>186</v>
      </c>
      <c r="C696">
        <f>17+1</f>
        <v>18</v>
      </c>
      <c r="D696">
        <v>11</v>
      </c>
      <c r="E696">
        <f>8+1</f>
        <v>9</v>
      </c>
      <c r="F696">
        <f>5-5+2</f>
        <v>2</v>
      </c>
      <c r="G696">
        <v>0</v>
      </c>
    </row>
    <row r="697" spans="1:7" x14ac:dyDescent="0.25">
      <c r="A697" s="3" t="s">
        <v>99</v>
      </c>
      <c r="B697" s="3" t="s">
        <v>186</v>
      </c>
      <c r="C697" s="3">
        <v>22</v>
      </c>
      <c r="D697" s="3">
        <v>15</v>
      </c>
      <c r="E697" s="3">
        <v>12</v>
      </c>
      <c r="F697" s="3">
        <v>3</v>
      </c>
      <c r="G697" s="3">
        <v>0</v>
      </c>
    </row>
    <row r="698" spans="1:7" x14ac:dyDescent="0.25">
      <c r="A698" s="3" t="s">
        <v>99</v>
      </c>
      <c r="B698" s="3" t="s">
        <v>189</v>
      </c>
      <c r="C698" s="3">
        <v>1</v>
      </c>
      <c r="D698" s="3">
        <v>0</v>
      </c>
      <c r="E698" s="3">
        <v>0</v>
      </c>
      <c r="F698" s="3">
        <v>0</v>
      </c>
      <c r="G698" s="3">
        <v>0</v>
      </c>
    </row>
    <row r="699" spans="1:7" x14ac:dyDescent="0.25">
      <c r="A699" t="s">
        <v>99</v>
      </c>
      <c r="B699" t="s">
        <v>187</v>
      </c>
      <c r="C699">
        <f>19+1</f>
        <v>20</v>
      </c>
      <c r="D699">
        <f>15+1</f>
        <v>16</v>
      </c>
      <c r="E699">
        <f>14+1</f>
        <v>15</v>
      </c>
      <c r="F699">
        <v>1</v>
      </c>
      <c r="G699">
        <v>0</v>
      </c>
    </row>
    <row r="700" spans="1:7" x14ac:dyDescent="0.25">
      <c r="A700" s="3" t="s">
        <v>99</v>
      </c>
      <c r="B700" s="3" t="s">
        <v>187</v>
      </c>
      <c r="C700" s="3">
        <v>26</v>
      </c>
      <c r="D700" s="3">
        <v>23</v>
      </c>
      <c r="E700" s="3">
        <f>21+1</f>
        <v>22</v>
      </c>
      <c r="F700" s="3">
        <f>3-2+0</f>
        <v>1</v>
      </c>
      <c r="G700" s="3">
        <v>0</v>
      </c>
    </row>
    <row r="701" spans="1:7" x14ac:dyDescent="0.25">
      <c r="A701" t="s">
        <v>99</v>
      </c>
      <c r="B701" t="s">
        <v>6</v>
      </c>
      <c r="C701">
        <v>11</v>
      </c>
      <c r="D701">
        <v>11</v>
      </c>
      <c r="E701">
        <v>11</v>
      </c>
      <c r="F701">
        <v>0</v>
      </c>
      <c r="G701">
        <v>0</v>
      </c>
    </row>
    <row r="702" spans="1:7" x14ac:dyDescent="0.25">
      <c r="A702" s="3" t="s">
        <v>99</v>
      </c>
      <c r="B702" s="3" t="s">
        <v>6</v>
      </c>
      <c r="C702" s="3">
        <v>8</v>
      </c>
      <c r="D702" s="3">
        <v>8</v>
      </c>
      <c r="E702" s="3">
        <v>8</v>
      </c>
      <c r="F702" s="3">
        <v>0</v>
      </c>
      <c r="G702" s="3">
        <v>0</v>
      </c>
    </row>
    <row r="703" spans="1:7" x14ac:dyDescent="0.25">
      <c r="A703" t="s">
        <v>99</v>
      </c>
      <c r="B703" t="s">
        <v>7</v>
      </c>
      <c r="C703">
        <v>6</v>
      </c>
      <c r="D703">
        <v>2</v>
      </c>
      <c r="E703">
        <v>1</v>
      </c>
      <c r="F703">
        <v>1</v>
      </c>
      <c r="G703">
        <v>0</v>
      </c>
    </row>
    <row r="704" spans="1:7" x14ac:dyDescent="0.25">
      <c r="A704" t="s">
        <v>99</v>
      </c>
      <c r="B704" t="s">
        <v>8</v>
      </c>
      <c r="C704">
        <v>4</v>
      </c>
      <c r="D704">
        <v>4</v>
      </c>
      <c r="E704">
        <v>2</v>
      </c>
      <c r="F704">
        <v>2</v>
      </c>
      <c r="G704">
        <v>0</v>
      </c>
    </row>
    <row r="705" spans="1:7" x14ac:dyDescent="0.25">
      <c r="A705" s="3" t="s">
        <v>99</v>
      </c>
      <c r="B705" s="3" t="s">
        <v>8</v>
      </c>
      <c r="C705" s="3">
        <v>1</v>
      </c>
      <c r="D705" s="3">
        <v>1</v>
      </c>
      <c r="E705" s="3">
        <v>1</v>
      </c>
      <c r="F705" s="3">
        <v>0</v>
      </c>
      <c r="G705" s="3">
        <v>0</v>
      </c>
    </row>
    <row r="706" spans="1:7" x14ac:dyDescent="0.25">
      <c r="A706" t="s">
        <v>99</v>
      </c>
      <c r="B706" t="s">
        <v>10</v>
      </c>
      <c r="C706">
        <v>8</v>
      </c>
      <c r="D706">
        <v>8</v>
      </c>
      <c r="E706">
        <v>8</v>
      </c>
      <c r="F706">
        <v>0</v>
      </c>
      <c r="G706">
        <v>0</v>
      </c>
    </row>
    <row r="707" spans="1:7" x14ac:dyDescent="0.25">
      <c r="A707" s="3" t="s">
        <v>99</v>
      </c>
      <c r="B707" s="3" t="s">
        <v>10</v>
      </c>
      <c r="C707" s="3">
        <v>13</v>
      </c>
      <c r="D707" s="3">
        <v>13</v>
      </c>
      <c r="E707" s="3">
        <v>7</v>
      </c>
      <c r="F707" s="3">
        <v>6</v>
      </c>
      <c r="G707" s="3">
        <v>0</v>
      </c>
    </row>
    <row r="708" spans="1:7" x14ac:dyDescent="0.25">
      <c r="A708" t="s">
        <v>99</v>
      </c>
      <c r="B708" t="s">
        <v>177</v>
      </c>
      <c r="C708">
        <v>3</v>
      </c>
      <c r="D708">
        <v>3</v>
      </c>
      <c r="E708">
        <v>3</v>
      </c>
      <c r="F708">
        <v>0</v>
      </c>
      <c r="G708">
        <v>0</v>
      </c>
    </row>
    <row r="709" spans="1:7" x14ac:dyDescent="0.25">
      <c r="A709" t="s">
        <v>50</v>
      </c>
      <c r="B709" t="s">
        <v>2</v>
      </c>
      <c r="C709">
        <v>3</v>
      </c>
      <c r="D709">
        <v>2</v>
      </c>
      <c r="E709">
        <v>2</v>
      </c>
      <c r="F709">
        <v>0</v>
      </c>
      <c r="G709">
        <v>0</v>
      </c>
    </row>
    <row r="710" spans="1:7" x14ac:dyDescent="0.25">
      <c r="A710" s="3" t="s">
        <v>50</v>
      </c>
      <c r="B710" s="3" t="s">
        <v>2</v>
      </c>
      <c r="C710" s="3">
        <v>2</v>
      </c>
      <c r="D710" s="3">
        <v>2</v>
      </c>
      <c r="E710" s="3">
        <v>1</v>
      </c>
      <c r="F710" s="3">
        <v>1</v>
      </c>
      <c r="G710" s="3">
        <v>0</v>
      </c>
    </row>
    <row r="711" spans="1:7" x14ac:dyDescent="0.25">
      <c r="A711" t="s">
        <v>50</v>
      </c>
      <c r="B711" t="s">
        <v>5</v>
      </c>
      <c r="C711">
        <v>20</v>
      </c>
      <c r="D711">
        <v>15</v>
      </c>
      <c r="E711">
        <v>15</v>
      </c>
      <c r="F711">
        <v>0</v>
      </c>
      <c r="G711">
        <v>0</v>
      </c>
    </row>
    <row r="712" spans="1:7" x14ac:dyDescent="0.25">
      <c r="A712" s="3" t="s">
        <v>50</v>
      </c>
      <c r="B712" s="3" t="s">
        <v>5</v>
      </c>
      <c r="C712" s="3">
        <v>12</v>
      </c>
      <c r="D712" s="3">
        <v>9</v>
      </c>
      <c r="E712" s="3">
        <v>9</v>
      </c>
      <c r="F712" s="3">
        <v>0</v>
      </c>
      <c r="G712" s="3">
        <v>0</v>
      </c>
    </row>
    <row r="713" spans="1:7" x14ac:dyDescent="0.25">
      <c r="A713" t="s">
        <v>50</v>
      </c>
      <c r="B713" t="s">
        <v>185</v>
      </c>
      <c r="C713">
        <f>17+3</f>
        <v>20</v>
      </c>
      <c r="D713">
        <f>17+3</f>
        <v>20</v>
      </c>
      <c r="E713">
        <f>12+3</f>
        <v>15</v>
      </c>
      <c r="F713">
        <v>5</v>
      </c>
      <c r="G713">
        <v>0</v>
      </c>
    </row>
    <row r="714" spans="1:7" x14ac:dyDescent="0.25">
      <c r="A714" s="3" t="s">
        <v>50</v>
      </c>
      <c r="B714" s="3" t="s">
        <v>185</v>
      </c>
      <c r="C714" s="3">
        <v>28</v>
      </c>
      <c r="D714" s="3">
        <v>26</v>
      </c>
      <c r="E714" s="3">
        <f>20+6</f>
        <v>26</v>
      </c>
      <c r="F714" s="3">
        <f>6-6+0</f>
        <v>0</v>
      </c>
      <c r="G714" s="3">
        <v>0</v>
      </c>
    </row>
    <row r="715" spans="1:7" x14ac:dyDescent="0.25">
      <c r="A715" t="s">
        <v>50</v>
      </c>
      <c r="B715" t="s">
        <v>186</v>
      </c>
      <c r="C715">
        <f>39+2</f>
        <v>41</v>
      </c>
      <c r="D715">
        <f>36+2</f>
        <v>38</v>
      </c>
      <c r="E715">
        <f>28+6</f>
        <v>34</v>
      </c>
      <c r="F715">
        <f>10-7+1</f>
        <v>4</v>
      </c>
      <c r="G715">
        <v>0</v>
      </c>
    </row>
    <row r="716" spans="1:7" x14ac:dyDescent="0.25">
      <c r="A716" s="3" t="s">
        <v>50</v>
      </c>
      <c r="B716" s="3" t="s">
        <v>186</v>
      </c>
      <c r="C716" s="3">
        <v>33</v>
      </c>
      <c r="D716" s="3">
        <v>31</v>
      </c>
      <c r="E716" s="3">
        <v>27</v>
      </c>
      <c r="F716" s="3">
        <v>4</v>
      </c>
      <c r="G716" s="3">
        <v>0</v>
      </c>
    </row>
    <row r="717" spans="1:7" x14ac:dyDescent="0.25">
      <c r="A717" t="s">
        <v>50</v>
      </c>
      <c r="B717" t="s">
        <v>189</v>
      </c>
      <c r="C717">
        <v>2</v>
      </c>
      <c r="D717">
        <v>2</v>
      </c>
      <c r="E717">
        <v>1</v>
      </c>
      <c r="F717">
        <v>1</v>
      </c>
      <c r="G717">
        <v>0</v>
      </c>
    </row>
    <row r="718" spans="1:7" x14ac:dyDescent="0.25">
      <c r="A718" t="s">
        <v>50</v>
      </c>
      <c r="B718" t="s">
        <v>187</v>
      </c>
      <c r="C718">
        <v>22</v>
      </c>
      <c r="D718">
        <v>20</v>
      </c>
      <c r="E718">
        <v>20</v>
      </c>
      <c r="F718">
        <v>0</v>
      </c>
      <c r="G718">
        <v>0</v>
      </c>
    </row>
    <row r="719" spans="1:7" x14ac:dyDescent="0.25">
      <c r="A719" s="3" t="s">
        <v>50</v>
      </c>
      <c r="B719" s="3" t="s">
        <v>187</v>
      </c>
      <c r="C719" s="3">
        <v>15</v>
      </c>
      <c r="D719" s="3">
        <v>12</v>
      </c>
      <c r="E719" s="3">
        <v>12</v>
      </c>
      <c r="F719" s="3">
        <v>0</v>
      </c>
      <c r="G719" s="3">
        <v>0</v>
      </c>
    </row>
    <row r="720" spans="1:7" x14ac:dyDescent="0.25">
      <c r="A720" t="s">
        <v>50</v>
      </c>
      <c r="B720" t="s">
        <v>6</v>
      </c>
      <c r="C720">
        <v>9</v>
      </c>
      <c r="D720">
        <v>8</v>
      </c>
      <c r="E720">
        <v>7</v>
      </c>
      <c r="F720">
        <v>1</v>
      </c>
      <c r="G720">
        <v>0</v>
      </c>
    </row>
    <row r="721" spans="1:7" x14ac:dyDescent="0.25">
      <c r="A721" s="3" t="s">
        <v>50</v>
      </c>
      <c r="B721" s="3" t="s">
        <v>6</v>
      </c>
      <c r="C721" s="3">
        <v>4</v>
      </c>
      <c r="D721" s="3">
        <v>4</v>
      </c>
      <c r="E721" s="3">
        <v>4</v>
      </c>
      <c r="F721" s="3">
        <v>0</v>
      </c>
      <c r="G721" s="3">
        <v>0</v>
      </c>
    </row>
    <row r="722" spans="1:7" x14ac:dyDescent="0.25">
      <c r="A722" s="3" t="s">
        <v>50</v>
      </c>
      <c r="B722" s="3" t="s">
        <v>7</v>
      </c>
      <c r="C722" s="3">
        <v>1</v>
      </c>
      <c r="D722" s="3">
        <v>1</v>
      </c>
      <c r="E722" s="3">
        <v>1</v>
      </c>
      <c r="F722" s="3">
        <v>0</v>
      </c>
      <c r="G722" s="3">
        <v>0</v>
      </c>
    </row>
    <row r="723" spans="1:7" x14ac:dyDescent="0.25">
      <c r="A723" t="s">
        <v>50</v>
      </c>
      <c r="B723" t="s">
        <v>8</v>
      </c>
      <c r="C723">
        <v>11</v>
      </c>
      <c r="D723">
        <v>8</v>
      </c>
      <c r="E723">
        <v>6</v>
      </c>
      <c r="F723">
        <v>2</v>
      </c>
      <c r="G723">
        <v>0</v>
      </c>
    </row>
    <row r="724" spans="1:7" x14ac:dyDescent="0.25">
      <c r="A724" s="3" t="s">
        <v>50</v>
      </c>
      <c r="B724" s="3" t="s">
        <v>8</v>
      </c>
      <c r="C724" s="3">
        <v>7</v>
      </c>
      <c r="D724" s="3">
        <v>5</v>
      </c>
      <c r="E724" s="3">
        <v>2</v>
      </c>
      <c r="F724" s="3">
        <v>3</v>
      </c>
      <c r="G724" s="3">
        <v>0</v>
      </c>
    </row>
    <row r="725" spans="1:7" x14ac:dyDescent="0.25">
      <c r="A725" t="s">
        <v>50</v>
      </c>
      <c r="B725" t="s">
        <v>9</v>
      </c>
      <c r="C725">
        <v>6</v>
      </c>
      <c r="D725">
        <v>2</v>
      </c>
      <c r="E725">
        <v>2</v>
      </c>
      <c r="F725">
        <v>0</v>
      </c>
      <c r="G725">
        <v>0</v>
      </c>
    </row>
    <row r="726" spans="1:7" x14ac:dyDescent="0.25">
      <c r="A726" t="s">
        <v>50</v>
      </c>
      <c r="B726" t="s">
        <v>10</v>
      </c>
      <c r="C726">
        <v>27</v>
      </c>
      <c r="D726">
        <v>21</v>
      </c>
      <c r="E726">
        <v>21</v>
      </c>
      <c r="F726">
        <v>0</v>
      </c>
      <c r="G726">
        <v>0</v>
      </c>
    </row>
    <row r="727" spans="1:7" x14ac:dyDescent="0.25">
      <c r="A727" s="3" t="s">
        <v>50</v>
      </c>
      <c r="B727" s="3" t="s">
        <v>10</v>
      </c>
      <c r="C727" s="3">
        <v>26</v>
      </c>
      <c r="D727" s="3">
        <v>24</v>
      </c>
      <c r="E727" s="3">
        <v>23</v>
      </c>
      <c r="F727" s="3">
        <v>1</v>
      </c>
      <c r="G727" s="3">
        <v>0</v>
      </c>
    </row>
    <row r="728" spans="1:7" x14ac:dyDescent="0.25">
      <c r="A728" t="s">
        <v>50</v>
      </c>
      <c r="B728" t="s">
        <v>177</v>
      </c>
      <c r="C728">
        <v>12</v>
      </c>
      <c r="D728">
        <v>8</v>
      </c>
      <c r="E728">
        <v>5</v>
      </c>
      <c r="F728">
        <v>3</v>
      </c>
      <c r="G728">
        <v>0</v>
      </c>
    </row>
    <row r="729" spans="1:7" x14ac:dyDescent="0.25">
      <c r="A729" s="3" t="s">
        <v>50</v>
      </c>
      <c r="B729" s="3" t="s">
        <v>177</v>
      </c>
      <c r="C729" s="3">
        <v>6</v>
      </c>
      <c r="D729" s="3">
        <v>5</v>
      </c>
      <c r="E729" s="3">
        <v>4</v>
      </c>
      <c r="F729" s="3">
        <v>1</v>
      </c>
      <c r="G729" s="3">
        <v>0</v>
      </c>
    </row>
    <row r="730" spans="1:7" x14ac:dyDescent="0.25">
      <c r="A730" t="s">
        <v>64</v>
      </c>
      <c r="B730" t="s">
        <v>2</v>
      </c>
      <c r="C730">
        <v>8</v>
      </c>
      <c r="D730">
        <v>3</v>
      </c>
      <c r="E730">
        <v>2</v>
      </c>
      <c r="F730">
        <v>1</v>
      </c>
      <c r="G730">
        <v>0</v>
      </c>
    </row>
    <row r="731" spans="1:7" x14ac:dyDescent="0.25">
      <c r="A731" t="s">
        <v>64</v>
      </c>
      <c r="B731" t="s">
        <v>5</v>
      </c>
      <c r="C731">
        <v>60</v>
      </c>
      <c r="D731">
        <v>60</v>
      </c>
      <c r="E731">
        <v>59</v>
      </c>
      <c r="F731">
        <v>1</v>
      </c>
      <c r="G731">
        <v>0</v>
      </c>
    </row>
    <row r="732" spans="1:7" x14ac:dyDescent="0.25">
      <c r="A732" s="3" t="s">
        <v>64</v>
      </c>
      <c r="B732" s="3" t="s">
        <v>5</v>
      </c>
      <c r="C732" s="3">
        <v>37</v>
      </c>
      <c r="D732" s="3">
        <v>37</v>
      </c>
      <c r="E732" s="3">
        <v>37</v>
      </c>
      <c r="F732" s="3">
        <v>0</v>
      </c>
      <c r="G732" s="3">
        <v>0</v>
      </c>
    </row>
    <row r="733" spans="1:7" x14ac:dyDescent="0.25">
      <c r="A733" t="s">
        <v>64</v>
      </c>
      <c r="B733" t="s">
        <v>185</v>
      </c>
      <c r="C733">
        <f>40+1</f>
        <v>41</v>
      </c>
      <c r="D733">
        <f>36+1</f>
        <v>37</v>
      </c>
      <c r="E733">
        <f>22+11</f>
        <v>33</v>
      </c>
      <c r="F733">
        <v>4</v>
      </c>
      <c r="G733">
        <v>0</v>
      </c>
    </row>
    <row r="734" spans="1:7" x14ac:dyDescent="0.25">
      <c r="A734" s="3" t="s">
        <v>64</v>
      </c>
      <c r="B734" s="3" t="s">
        <v>185</v>
      </c>
      <c r="C734" s="3">
        <v>20</v>
      </c>
      <c r="D734" s="3">
        <v>20</v>
      </c>
      <c r="E734" s="3">
        <v>18</v>
      </c>
      <c r="F734" s="3">
        <v>2</v>
      </c>
      <c r="G734" s="3">
        <v>0</v>
      </c>
    </row>
    <row r="735" spans="1:7" x14ac:dyDescent="0.25">
      <c r="A735" t="s">
        <v>64</v>
      </c>
      <c r="B735" t="s">
        <v>186</v>
      </c>
      <c r="C735">
        <v>48</v>
      </c>
      <c r="D735">
        <v>45</v>
      </c>
      <c r="E735">
        <f>33+9</f>
        <v>42</v>
      </c>
      <c r="F735">
        <f>12-9+0</f>
        <v>3</v>
      </c>
      <c r="G735">
        <v>0</v>
      </c>
    </row>
    <row r="736" spans="1:7" x14ac:dyDescent="0.25">
      <c r="A736" s="3" t="s">
        <v>64</v>
      </c>
      <c r="B736" s="3" t="s">
        <v>186</v>
      </c>
      <c r="C736" s="3">
        <v>35</v>
      </c>
      <c r="D736" s="3">
        <v>30</v>
      </c>
      <c r="E736" s="3">
        <v>26</v>
      </c>
      <c r="F736" s="3">
        <v>4</v>
      </c>
      <c r="G736" s="3">
        <v>3</v>
      </c>
    </row>
    <row r="737" spans="1:7" x14ac:dyDescent="0.25">
      <c r="A737" t="s">
        <v>64</v>
      </c>
      <c r="B737" t="s">
        <v>187</v>
      </c>
      <c r="C737">
        <v>29</v>
      </c>
      <c r="D737">
        <v>29</v>
      </c>
      <c r="E737">
        <f>17+6</f>
        <v>23</v>
      </c>
      <c r="F737">
        <f>12-7+1</f>
        <v>6</v>
      </c>
      <c r="G737">
        <v>0</v>
      </c>
    </row>
    <row r="738" spans="1:7" x14ac:dyDescent="0.25">
      <c r="A738" s="3" t="s">
        <v>64</v>
      </c>
      <c r="B738" s="3" t="s">
        <v>187</v>
      </c>
      <c r="C738" s="3">
        <v>23</v>
      </c>
      <c r="D738" s="3">
        <v>22</v>
      </c>
      <c r="E738" s="3">
        <v>19</v>
      </c>
      <c r="F738" s="3">
        <v>3</v>
      </c>
      <c r="G738" s="3">
        <v>0</v>
      </c>
    </row>
    <row r="739" spans="1:7" x14ac:dyDescent="0.25">
      <c r="A739" t="s">
        <v>64</v>
      </c>
      <c r="B739" t="s">
        <v>6</v>
      </c>
      <c r="C739">
        <v>9</v>
      </c>
      <c r="D739">
        <v>9</v>
      </c>
      <c r="E739">
        <v>9</v>
      </c>
      <c r="F739">
        <v>0</v>
      </c>
      <c r="G739">
        <v>0</v>
      </c>
    </row>
    <row r="740" spans="1:7" x14ac:dyDescent="0.25">
      <c r="A740" s="3" t="s">
        <v>64</v>
      </c>
      <c r="B740" s="3" t="s">
        <v>6</v>
      </c>
      <c r="C740" s="3">
        <v>8</v>
      </c>
      <c r="D740" s="3">
        <v>8</v>
      </c>
      <c r="E740" s="3">
        <v>8</v>
      </c>
      <c r="F740" s="3">
        <v>0</v>
      </c>
      <c r="G740" s="3">
        <v>0</v>
      </c>
    </row>
    <row r="741" spans="1:7" x14ac:dyDescent="0.25">
      <c r="A741" t="s">
        <v>64</v>
      </c>
      <c r="B741" t="s">
        <v>7</v>
      </c>
      <c r="C741">
        <v>6</v>
      </c>
      <c r="D741">
        <v>6</v>
      </c>
      <c r="E741">
        <v>6</v>
      </c>
      <c r="F741">
        <v>0</v>
      </c>
      <c r="G741">
        <v>0</v>
      </c>
    </row>
    <row r="742" spans="1:7" x14ac:dyDescent="0.25">
      <c r="A742" s="3" t="s">
        <v>64</v>
      </c>
      <c r="B742" s="3" t="s">
        <v>7</v>
      </c>
      <c r="C742" s="3">
        <v>5</v>
      </c>
      <c r="D742" s="3">
        <v>5</v>
      </c>
      <c r="E742" s="3">
        <v>2</v>
      </c>
      <c r="F742" s="3">
        <v>3</v>
      </c>
      <c r="G742" s="3">
        <v>0</v>
      </c>
    </row>
    <row r="743" spans="1:7" x14ac:dyDescent="0.25">
      <c r="A743" t="s">
        <v>64</v>
      </c>
      <c r="B743" t="s">
        <v>8</v>
      </c>
      <c r="C743">
        <v>7</v>
      </c>
      <c r="D743">
        <v>6</v>
      </c>
      <c r="E743">
        <v>6</v>
      </c>
      <c r="F743">
        <v>0</v>
      </c>
      <c r="G743">
        <v>0</v>
      </c>
    </row>
    <row r="744" spans="1:7" x14ac:dyDescent="0.25">
      <c r="A744" s="3" t="s">
        <v>64</v>
      </c>
      <c r="B744" s="3" t="s">
        <v>8</v>
      </c>
      <c r="C744" s="3">
        <v>3</v>
      </c>
      <c r="D744" s="3">
        <v>3</v>
      </c>
      <c r="E744" s="3">
        <v>2</v>
      </c>
      <c r="F744" s="3">
        <v>1</v>
      </c>
      <c r="G744" s="3">
        <v>0</v>
      </c>
    </row>
    <row r="745" spans="1:7" x14ac:dyDescent="0.25">
      <c r="A745" t="s">
        <v>64</v>
      </c>
      <c r="B745" t="s">
        <v>9</v>
      </c>
      <c r="C745">
        <v>1</v>
      </c>
      <c r="D745">
        <v>1</v>
      </c>
      <c r="E745">
        <v>1</v>
      </c>
      <c r="F745">
        <v>0</v>
      </c>
      <c r="G745">
        <v>0</v>
      </c>
    </row>
    <row r="746" spans="1:7" x14ac:dyDescent="0.25">
      <c r="A746" s="3" t="s">
        <v>64</v>
      </c>
      <c r="B746" s="3" t="s">
        <v>9</v>
      </c>
      <c r="C746" s="3">
        <v>2</v>
      </c>
      <c r="D746" s="3">
        <v>2</v>
      </c>
      <c r="E746" s="3">
        <v>1</v>
      </c>
      <c r="F746" s="3">
        <v>1</v>
      </c>
      <c r="G746" s="3">
        <v>0</v>
      </c>
    </row>
    <row r="747" spans="1:7" x14ac:dyDescent="0.25">
      <c r="A747" t="s">
        <v>64</v>
      </c>
      <c r="B747" t="s">
        <v>10</v>
      </c>
      <c r="C747">
        <v>32</v>
      </c>
      <c r="D747">
        <v>32</v>
      </c>
      <c r="E747">
        <v>30</v>
      </c>
      <c r="F747">
        <v>2</v>
      </c>
      <c r="G747">
        <v>0</v>
      </c>
    </row>
    <row r="748" spans="1:7" x14ac:dyDescent="0.25">
      <c r="A748" s="3" t="s">
        <v>64</v>
      </c>
      <c r="B748" s="3" t="s">
        <v>10</v>
      </c>
      <c r="C748" s="3">
        <v>17</v>
      </c>
      <c r="D748" s="3">
        <v>17</v>
      </c>
      <c r="E748" s="3">
        <v>15</v>
      </c>
      <c r="F748" s="3">
        <v>2</v>
      </c>
      <c r="G748" s="3">
        <v>0</v>
      </c>
    </row>
    <row r="749" spans="1:7" x14ac:dyDescent="0.25">
      <c r="A749" t="s">
        <v>64</v>
      </c>
      <c r="B749" t="s">
        <v>177</v>
      </c>
      <c r="C749">
        <v>68</v>
      </c>
      <c r="D749">
        <v>68</v>
      </c>
      <c r="E749">
        <v>65</v>
      </c>
      <c r="F749">
        <v>3</v>
      </c>
      <c r="G749">
        <v>0</v>
      </c>
    </row>
    <row r="750" spans="1:7" x14ac:dyDescent="0.25">
      <c r="A750" s="3" t="s">
        <v>64</v>
      </c>
      <c r="B750" s="3" t="s">
        <v>177</v>
      </c>
      <c r="C750" s="3">
        <v>22</v>
      </c>
      <c r="D750" s="3">
        <v>22</v>
      </c>
      <c r="E750" s="3">
        <v>20</v>
      </c>
      <c r="F750" s="3">
        <v>2</v>
      </c>
      <c r="G750" s="3">
        <v>0</v>
      </c>
    </row>
    <row r="751" spans="1:7" x14ac:dyDescent="0.25">
      <c r="A751" t="s">
        <v>85</v>
      </c>
      <c r="B751" t="s">
        <v>2</v>
      </c>
      <c r="C751">
        <v>10</v>
      </c>
      <c r="D751">
        <v>8</v>
      </c>
      <c r="E751">
        <v>8</v>
      </c>
      <c r="F751">
        <v>0</v>
      </c>
      <c r="G751">
        <v>0</v>
      </c>
    </row>
    <row r="752" spans="1:7" x14ac:dyDescent="0.25">
      <c r="A752" s="3" t="s">
        <v>85</v>
      </c>
      <c r="B752" s="3" t="s">
        <v>2</v>
      </c>
      <c r="C752" s="3">
        <v>10</v>
      </c>
      <c r="D752" s="3">
        <v>8</v>
      </c>
      <c r="E752" s="3">
        <v>8</v>
      </c>
      <c r="F752" s="3">
        <v>0</v>
      </c>
      <c r="G752" s="3">
        <v>0</v>
      </c>
    </row>
    <row r="753" spans="1:7" x14ac:dyDescent="0.25">
      <c r="A753" t="s">
        <v>85</v>
      </c>
      <c r="B753" t="s">
        <v>5</v>
      </c>
      <c r="C753">
        <v>63</v>
      </c>
      <c r="D753">
        <v>63</v>
      </c>
      <c r="E753">
        <v>62</v>
      </c>
      <c r="F753">
        <v>1</v>
      </c>
      <c r="G753">
        <v>0</v>
      </c>
    </row>
    <row r="754" spans="1:7" x14ac:dyDescent="0.25">
      <c r="A754" s="3" t="s">
        <v>85</v>
      </c>
      <c r="B754" s="3" t="s">
        <v>5</v>
      </c>
      <c r="C754" s="3">
        <v>80</v>
      </c>
      <c r="D754" s="3">
        <v>80</v>
      </c>
      <c r="E754" s="3">
        <v>74</v>
      </c>
      <c r="F754" s="3">
        <v>6</v>
      </c>
      <c r="G754" s="3">
        <v>0</v>
      </c>
    </row>
    <row r="755" spans="1:7" x14ac:dyDescent="0.25">
      <c r="A755" t="s">
        <v>85</v>
      </c>
      <c r="B755" t="s">
        <v>185</v>
      </c>
      <c r="C755">
        <f>30+13</f>
        <v>43</v>
      </c>
      <c r="D755">
        <f>30+13</f>
        <v>43</v>
      </c>
      <c r="E755">
        <f>34+5</f>
        <v>39</v>
      </c>
      <c r="F755">
        <f>9-5+0</f>
        <v>4</v>
      </c>
      <c r="G755">
        <v>0</v>
      </c>
    </row>
    <row r="756" spans="1:7" x14ac:dyDescent="0.25">
      <c r="A756" s="3" t="s">
        <v>85</v>
      </c>
      <c r="B756" s="3" t="s">
        <v>185</v>
      </c>
      <c r="C756" s="3">
        <v>35</v>
      </c>
      <c r="D756" s="3">
        <v>35</v>
      </c>
      <c r="E756" s="3">
        <v>34</v>
      </c>
      <c r="F756" s="3">
        <v>1</v>
      </c>
      <c r="G756" s="3">
        <v>0</v>
      </c>
    </row>
    <row r="757" spans="1:7" x14ac:dyDescent="0.25">
      <c r="A757" t="s">
        <v>85</v>
      </c>
      <c r="B757" t="s">
        <v>186</v>
      </c>
      <c r="C757">
        <f>60+2</f>
        <v>62</v>
      </c>
      <c r="D757">
        <f>57+2</f>
        <v>59</v>
      </c>
      <c r="E757">
        <f>47+9</f>
        <v>56</v>
      </c>
      <c r="F757">
        <f>12-10+1</f>
        <v>3</v>
      </c>
      <c r="G757">
        <v>0</v>
      </c>
    </row>
    <row r="758" spans="1:7" x14ac:dyDescent="0.25">
      <c r="A758" s="3" t="s">
        <v>85</v>
      </c>
      <c r="B758" s="3" t="s">
        <v>186</v>
      </c>
      <c r="C758" s="3">
        <v>63</v>
      </c>
      <c r="D758" s="3">
        <v>58</v>
      </c>
      <c r="E758" s="3">
        <v>54</v>
      </c>
      <c r="F758" s="3">
        <v>4</v>
      </c>
      <c r="G758" s="3">
        <v>2</v>
      </c>
    </row>
    <row r="759" spans="1:7" x14ac:dyDescent="0.25">
      <c r="A759" t="s">
        <v>85</v>
      </c>
      <c r="B759" t="s">
        <v>187</v>
      </c>
      <c r="C759">
        <f>224+2</f>
        <v>226</v>
      </c>
      <c r="D759">
        <f>224+2</f>
        <v>226</v>
      </c>
      <c r="E759">
        <f>209+5</f>
        <v>214</v>
      </c>
      <c r="F759">
        <f>17-5+0</f>
        <v>12</v>
      </c>
      <c r="G759">
        <v>0</v>
      </c>
    </row>
    <row r="760" spans="1:7" x14ac:dyDescent="0.25">
      <c r="A760" s="3" t="s">
        <v>85</v>
      </c>
      <c r="B760" s="3" t="s">
        <v>187</v>
      </c>
      <c r="C760" s="3">
        <v>138</v>
      </c>
      <c r="D760" s="3">
        <v>138</v>
      </c>
      <c r="E760" s="3">
        <v>134</v>
      </c>
      <c r="F760" s="3">
        <v>4</v>
      </c>
      <c r="G760" s="3">
        <v>0</v>
      </c>
    </row>
    <row r="761" spans="1:7" x14ac:dyDescent="0.25">
      <c r="A761" t="s">
        <v>85</v>
      </c>
      <c r="B761" t="s">
        <v>6</v>
      </c>
      <c r="C761">
        <v>16</v>
      </c>
      <c r="D761">
        <v>16</v>
      </c>
      <c r="E761">
        <v>16</v>
      </c>
      <c r="F761">
        <v>0</v>
      </c>
      <c r="G761">
        <v>0</v>
      </c>
    </row>
    <row r="762" spans="1:7" x14ac:dyDescent="0.25">
      <c r="A762" s="3" t="s">
        <v>85</v>
      </c>
      <c r="B762" s="3" t="s">
        <v>6</v>
      </c>
      <c r="C762" s="3">
        <v>7</v>
      </c>
      <c r="D762" s="3">
        <v>7</v>
      </c>
      <c r="E762" s="3">
        <v>7</v>
      </c>
      <c r="F762" s="3">
        <v>0</v>
      </c>
      <c r="G762" s="3">
        <v>0</v>
      </c>
    </row>
    <row r="763" spans="1:7" x14ac:dyDescent="0.25">
      <c r="A763" t="s">
        <v>85</v>
      </c>
      <c r="B763" t="s">
        <v>7</v>
      </c>
      <c r="C763">
        <v>3</v>
      </c>
      <c r="D763">
        <v>2</v>
      </c>
      <c r="E763">
        <v>2</v>
      </c>
      <c r="F763">
        <v>0</v>
      </c>
      <c r="G763">
        <v>0</v>
      </c>
    </row>
    <row r="764" spans="1:7" x14ac:dyDescent="0.25">
      <c r="A764" s="3" t="s">
        <v>85</v>
      </c>
      <c r="B764" s="3" t="s">
        <v>7</v>
      </c>
      <c r="C764" s="3">
        <v>2</v>
      </c>
      <c r="D764" s="3">
        <v>2</v>
      </c>
      <c r="E764" s="3">
        <v>1</v>
      </c>
      <c r="F764" s="3">
        <v>1</v>
      </c>
      <c r="G764" s="3">
        <v>0</v>
      </c>
    </row>
    <row r="765" spans="1:7" x14ac:dyDescent="0.25">
      <c r="A765" t="s">
        <v>85</v>
      </c>
      <c r="B765" t="s">
        <v>8</v>
      </c>
      <c r="C765">
        <v>14</v>
      </c>
      <c r="D765">
        <v>14</v>
      </c>
      <c r="E765">
        <v>14</v>
      </c>
      <c r="F765">
        <v>0</v>
      </c>
      <c r="G765">
        <v>0</v>
      </c>
    </row>
    <row r="766" spans="1:7" x14ac:dyDescent="0.25">
      <c r="A766" s="3" t="s">
        <v>85</v>
      </c>
      <c r="B766" s="3" t="s">
        <v>8</v>
      </c>
      <c r="C766" s="3">
        <v>16</v>
      </c>
      <c r="D766" s="3">
        <v>16</v>
      </c>
      <c r="E766" s="3">
        <v>13</v>
      </c>
      <c r="F766" s="3">
        <v>3</v>
      </c>
      <c r="G766" s="3">
        <v>0</v>
      </c>
    </row>
    <row r="767" spans="1:7" x14ac:dyDescent="0.25">
      <c r="A767" t="s">
        <v>85</v>
      </c>
      <c r="B767" t="s">
        <v>9</v>
      </c>
      <c r="C767">
        <v>7</v>
      </c>
      <c r="D767">
        <v>7</v>
      </c>
      <c r="E767">
        <v>7</v>
      </c>
      <c r="F767">
        <v>0</v>
      </c>
      <c r="G767">
        <v>0</v>
      </c>
    </row>
    <row r="768" spans="1:7" x14ac:dyDescent="0.25">
      <c r="A768" s="3" t="s">
        <v>85</v>
      </c>
      <c r="B768" s="3" t="s">
        <v>9</v>
      </c>
      <c r="C768" s="3">
        <v>8</v>
      </c>
      <c r="D768" s="3">
        <v>8</v>
      </c>
      <c r="E768" s="3">
        <v>8</v>
      </c>
      <c r="F768" s="3">
        <v>0</v>
      </c>
      <c r="G768" s="3">
        <v>0</v>
      </c>
    </row>
    <row r="769" spans="1:7" x14ac:dyDescent="0.25">
      <c r="A769" t="s">
        <v>85</v>
      </c>
      <c r="B769" t="s">
        <v>10</v>
      </c>
      <c r="C769">
        <v>75</v>
      </c>
      <c r="D769">
        <v>75</v>
      </c>
      <c r="E769">
        <v>72</v>
      </c>
      <c r="F769">
        <v>3</v>
      </c>
      <c r="G769">
        <v>0</v>
      </c>
    </row>
    <row r="770" spans="1:7" x14ac:dyDescent="0.25">
      <c r="A770" s="3" t="s">
        <v>85</v>
      </c>
      <c r="B770" s="3" t="s">
        <v>10</v>
      </c>
      <c r="C770" s="3">
        <v>69</v>
      </c>
      <c r="D770" s="3">
        <v>69</v>
      </c>
      <c r="E770" s="3">
        <v>63</v>
      </c>
      <c r="F770" s="3">
        <v>6</v>
      </c>
      <c r="G770" s="3">
        <v>0</v>
      </c>
    </row>
    <row r="771" spans="1:7" x14ac:dyDescent="0.25">
      <c r="A771" t="s">
        <v>85</v>
      </c>
      <c r="B771" t="s">
        <v>177</v>
      </c>
      <c r="C771">
        <v>46</v>
      </c>
      <c r="D771">
        <v>46</v>
      </c>
      <c r="E771">
        <v>44</v>
      </c>
      <c r="F771">
        <v>2</v>
      </c>
      <c r="G771">
        <v>0</v>
      </c>
    </row>
    <row r="772" spans="1:7" x14ac:dyDescent="0.25">
      <c r="A772" s="3" t="s">
        <v>85</v>
      </c>
      <c r="B772" s="3" t="s">
        <v>177</v>
      </c>
      <c r="C772" s="3">
        <v>39</v>
      </c>
      <c r="D772" s="3">
        <v>39</v>
      </c>
      <c r="E772" s="3">
        <v>36</v>
      </c>
      <c r="F772" s="3">
        <v>3</v>
      </c>
      <c r="G772" s="3">
        <v>0</v>
      </c>
    </row>
    <row r="773" spans="1:7" x14ac:dyDescent="0.25">
      <c r="A773" t="s">
        <v>65</v>
      </c>
      <c r="B773" t="s">
        <v>2</v>
      </c>
      <c r="C773">
        <v>1</v>
      </c>
      <c r="D773">
        <v>0</v>
      </c>
      <c r="E773">
        <v>0</v>
      </c>
      <c r="F773">
        <v>0</v>
      </c>
      <c r="G773">
        <v>0</v>
      </c>
    </row>
    <row r="774" spans="1:7" x14ac:dyDescent="0.25">
      <c r="A774" t="s">
        <v>65</v>
      </c>
      <c r="B774" t="s">
        <v>5</v>
      </c>
      <c r="C774">
        <v>7</v>
      </c>
      <c r="D774">
        <v>7</v>
      </c>
      <c r="E774">
        <v>6</v>
      </c>
      <c r="F774">
        <v>1</v>
      </c>
      <c r="G774">
        <v>0</v>
      </c>
    </row>
    <row r="775" spans="1:7" x14ac:dyDescent="0.25">
      <c r="A775" s="3" t="s">
        <v>65</v>
      </c>
      <c r="B775" s="3" t="s">
        <v>5</v>
      </c>
      <c r="C775" s="3">
        <v>3</v>
      </c>
      <c r="D775" s="3">
        <v>3</v>
      </c>
      <c r="E775" s="3">
        <v>3</v>
      </c>
      <c r="F775" s="3">
        <v>0</v>
      </c>
      <c r="G775" s="3">
        <v>0</v>
      </c>
    </row>
    <row r="776" spans="1:7" x14ac:dyDescent="0.25">
      <c r="A776" t="s">
        <v>65</v>
      </c>
      <c r="B776" t="s">
        <v>185</v>
      </c>
      <c r="C776">
        <v>5</v>
      </c>
      <c r="D776">
        <v>5</v>
      </c>
      <c r="E776">
        <v>4</v>
      </c>
      <c r="F776">
        <v>1</v>
      </c>
      <c r="G776">
        <v>0</v>
      </c>
    </row>
    <row r="777" spans="1:7" x14ac:dyDescent="0.25">
      <c r="A777" s="3" t="s">
        <v>65</v>
      </c>
      <c r="B777" s="3" t="s">
        <v>185</v>
      </c>
      <c r="C777" s="3">
        <v>10</v>
      </c>
      <c r="D777" s="3">
        <v>8</v>
      </c>
      <c r="E777" s="3">
        <v>8</v>
      </c>
      <c r="F777" s="3">
        <v>0</v>
      </c>
      <c r="G777" s="3">
        <v>1</v>
      </c>
    </row>
    <row r="778" spans="1:7" x14ac:dyDescent="0.25">
      <c r="A778" t="s">
        <v>65</v>
      </c>
      <c r="B778" t="s">
        <v>186</v>
      </c>
      <c r="C778">
        <f>19+1</f>
        <v>20</v>
      </c>
      <c r="D778">
        <v>19</v>
      </c>
      <c r="E778">
        <v>18</v>
      </c>
      <c r="F778">
        <v>1</v>
      </c>
      <c r="G778">
        <v>0</v>
      </c>
    </row>
    <row r="779" spans="1:7" x14ac:dyDescent="0.25">
      <c r="A779" s="3" t="s">
        <v>65</v>
      </c>
      <c r="B779" s="3" t="s">
        <v>186</v>
      </c>
      <c r="C779" s="3">
        <v>14</v>
      </c>
      <c r="D779" s="3">
        <v>12</v>
      </c>
      <c r="E779" s="3">
        <v>8</v>
      </c>
      <c r="F779" s="3">
        <v>4</v>
      </c>
      <c r="G779" s="3">
        <v>0</v>
      </c>
    </row>
    <row r="780" spans="1:7" x14ac:dyDescent="0.25">
      <c r="A780" t="s">
        <v>65</v>
      </c>
      <c r="B780" t="s">
        <v>187</v>
      </c>
      <c r="C780">
        <v>18</v>
      </c>
      <c r="D780">
        <v>18</v>
      </c>
      <c r="E780">
        <v>15</v>
      </c>
      <c r="F780">
        <v>3</v>
      </c>
      <c r="G780">
        <v>0</v>
      </c>
    </row>
    <row r="781" spans="1:7" x14ac:dyDescent="0.25">
      <c r="A781" s="3" t="s">
        <v>65</v>
      </c>
      <c r="B781" s="3" t="s">
        <v>187</v>
      </c>
      <c r="C781" s="3">
        <v>20</v>
      </c>
      <c r="D781" s="3">
        <v>20</v>
      </c>
      <c r="E781" s="3">
        <v>19</v>
      </c>
      <c r="F781" s="3">
        <v>1</v>
      </c>
      <c r="G781" s="3">
        <v>0</v>
      </c>
    </row>
    <row r="782" spans="1:7" x14ac:dyDescent="0.25">
      <c r="A782" t="s">
        <v>65</v>
      </c>
      <c r="B782" t="s">
        <v>6</v>
      </c>
      <c r="C782">
        <v>16</v>
      </c>
      <c r="D782">
        <v>16</v>
      </c>
      <c r="E782">
        <v>16</v>
      </c>
      <c r="F782">
        <v>0</v>
      </c>
      <c r="G782">
        <v>0</v>
      </c>
    </row>
    <row r="783" spans="1:7" x14ac:dyDescent="0.25">
      <c r="A783" s="3" t="s">
        <v>65</v>
      </c>
      <c r="B783" s="3" t="s">
        <v>6</v>
      </c>
      <c r="C783" s="3">
        <v>22</v>
      </c>
      <c r="D783" s="3">
        <v>22</v>
      </c>
      <c r="E783" s="3">
        <v>22</v>
      </c>
      <c r="F783" s="3">
        <v>0</v>
      </c>
      <c r="G783" s="3">
        <v>0</v>
      </c>
    </row>
    <row r="784" spans="1:7" x14ac:dyDescent="0.25">
      <c r="A784" t="s">
        <v>65</v>
      </c>
      <c r="B784" t="s">
        <v>8</v>
      </c>
      <c r="C784">
        <v>7</v>
      </c>
      <c r="D784">
        <v>7</v>
      </c>
      <c r="E784">
        <v>7</v>
      </c>
      <c r="F784">
        <v>0</v>
      </c>
      <c r="G784">
        <v>0</v>
      </c>
    </row>
    <row r="785" spans="1:7" x14ac:dyDescent="0.25">
      <c r="A785" s="3" t="s">
        <v>65</v>
      </c>
      <c r="B785" s="3" t="s">
        <v>8</v>
      </c>
      <c r="C785" s="3">
        <v>5</v>
      </c>
      <c r="D785" s="3">
        <v>5</v>
      </c>
      <c r="E785" s="3">
        <v>4</v>
      </c>
      <c r="F785" s="3">
        <v>1</v>
      </c>
      <c r="G785" s="3">
        <v>0</v>
      </c>
    </row>
    <row r="786" spans="1:7" x14ac:dyDescent="0.25">
      <c r="A786" t="s">
        <v>65</v>
      </c>
      <c r="B786" t="s">
        <v>9</v>
      </c>
      <c r="C786">
        <v>2</v>
      </c>
      <c r="D786">
        <v>2</v>
      </c>
      <c r="E786">
        <v>2</v>
      </c>
      <c r="F786">
        <v>0</v>
      </c>
      <c r="G786">
        <v>0</v>
      </c>
    </row>
    <row r="787" spans="1:7" x14ac:dyDescent="0.25">
      <c r="A787" s="3" t="s">
        <v>65</v>
      </c>
      <c r="B787" s="3" t="s">
        <v>9</v>
      </c>
      <c r="C787" s="3">
        <v>4</v>
      </c>
      <c r="D787" s="3">
        <v>4</v>
      </c>
      <c r="E787" s="3">
        <v>3</v>
      </c>
      <c r="F787" s="3">
        <v>1</v>
      </c>
      <c r="G787" s="3">
        <v>0</v>
      </c>
    </row>
    <row r="788" spans="1:7" x14ac:dyDescent="0.25">
      <c r="A788" t="s">
        <v>65</v>
      </c>
      <c r="B788" t="s">
        <v>10</v>
      </c>
      <c r="C788">
        <v>17</v>
      </c>
      <c r="D788">
        <v>17</v>
      </c>
      <c r="E788">
        <v>17</v>
      </c>
      <c r="F788">
        <v>0</v>
      </c>
      <c r="G788">
        <v>0</v>
      </c>
    </row>
    <row r="789" spans="1:7" x14ac:dyDescent="0.25">
      <c r="A789" s="3" t="s">
        <v>65</v>
      </c>
      <c r="B789" s="3" t="s">
        <v>10</v>
      </c>
      <c r="C789" s="3">
        <v>22</v>
      </c>
      <c r="D789" s="3">
        <v>22</v>
      </c>
      <c r="E789" s="3">
        <v>22</v>
      </c>
      <c r="F789" s="3">
        <v>0</v>
      </c>
      <c r="G789" s="3">
        <v>0</v>
      </c>
    </row>
    <row r="790" spans="1:7" x14ac:dyDescent="0.25">
      <c r="A790" t="s">
        <v>65</v>
      </c>
      <c r="B790" t="s">
        <v>177</v>
      </c>
      <c r="C790">
        <v>6</v>
      </c>
      <c r="D790">
        <v>6</v>
      </c>
      <c r="E790">
        <v>6</v>
      </c>
      <c r="F790">
        <v>0</v>
      </c>
      <c r="G790">
        <v>0</v>
      </c>
    </row>
    <row r="791" spans="1:7" x14ac:dyDescent="0.25">
      <c r="A791" s="3" t="s">
        <v>65</v>
      </c>
      <c r="B791" s="3" t="s">
        <v>177</v>
      </c>
      <c r="C791" s="3">
        <v>3</v>
      </c>
      <c r="D791" s="3">
        <v>2</v>
      </c>
      <c r="E791" s="3">
        <v>2</v>
      </c>
      <c r="F791" s="3">
        <v>0</v>
      </c>
      <c r="G791" s="3">
        <v>0</v>
      </c>
    </row>
    <row r="792" spans="1:7" x14ac:dyDescent="0.25">
      <c r="A792" s="3" t="s">
        <v>39</v>
      </c>
      <c r="B792" s="3" t="s">
        <v>2</v>
      </c>
      <c r="C792" s="3">
        <v>1</v>
      </c>
      <c r="D792" s="3">
        <v>1</v>
      </c>
      <c r="E792" s="3">
        <v>1</v>
      </c>
      <c r="F792" s="3">
        <v>0</v>
      </c>
      <c r="G792" s="3">
        <v>0</v>
      </c>
    </row>
    <row r="793" spans="1:7" x14ac:dyDescent="0.25">
      <c r="A793" t="s">
        <v>39</v>
      </c>
      <c r="B793" t="s">
        <v>4</v>
      </c>
      <c r="C793">
        <v>1</v>
      </c>
      <c r="D793">
        <v>0</v>
      </c>
      <c r="E793">
        <v>0</v>
      </c>
      <c r="F793">
        <v>0</v>
      </c>
      <c r="G793">
        <v>0</v>
      </c>
    </row>
    <row r="794" spans="1:7" x14ac:dyDescent="0.25">
      <c r="A794" t="s">
        <v>39</v>
      </c>
      <c r="B794" t="s">
        <v>5</v>
      </c>
      <c r="C794">
        <v>45</v>
      </c>
      <c r="D794">
        <v>44</v>
      </c>
      <c r="E794">
        <v>43</v>
      </c>
      <c r="F794">
        <v>1</v>
      </c>
      <c r="G794">
        <v>0</v>
      </c>
    </row>
    <row r="795" spans="1:7" x14ac:dyDescent="0.25">
      <c r="A795" s="3" t="s">
        <v>39</v>
      </c>
      <c r="B795" s="3" t="s">
        <v>5</v>
      </c>
      <c r="C795" s="3">
        <v>30</v>
      </c>
      <c r="D795" s="3">
        <v>27</v>
      </c>
      <c r="E795" s="3">
        <v>27</v>
      </c>
      <c r="F795" s="3">
        <v>0</v>
      </c>
      <c r="G795" s="3">
        <v>1</v>
      </c>
    </row>
    <row r="796" spans="1:7" x14ac:dyDescent="0.25">
      <c r="A796" t="s">
        <v>39</v>
      </c>
      <c r="B796" t="s">
        <v>185</v>
      </c>
      <c r="C796">
        <f>44+3</f>
        <v>47</v>
      </c>
      <c r="D796">
        <f>44+3</f>
        <v>47</v>
      </c>
      <c r="E796">
        <f>42+3</f>
        <v>45</v>
      </c>
      <c r="F796">
        <f>5-4+1</f>
        <v>2</v>
      </c>
      <c r="G796">
        <v>0</v>
      </c>
    </row>
    <row r="797" spans="1:7" x14ac:dyDescent="0.25">
      <c r="A797" s="3" t="s">
        <v>39</v>
      </c>
      <c r="B797" s="3" t="s">
        <v>185</v>
      </c>
      <c r="C797" s="3">
        <v>26</v>
      </c>
      <c r="D797" s="3">
        <v>24</v>
      </c>
      <c r="E797" s="3">
        <v>23</v>
      </c>
      <c r="F797" s="3">
        <v>1</v>
      </c>
      <c r="G797" s="3">
        <v>1</v>
      </c>
    </row>
    <row r="798" spans="1:7" x14ac:dyDescent="0.25">
      <c r="A798" t="s">
        <v>39</v>
      </c>
      <c r="B798" t="s">
        <v>186</v>
      </c>
      <c r="C798">
        <f>50+1</f>
        <v>51</v>
      </c>
      <c r="D798">
        <f>50+1</f>
        <v>51</v>
      </c>
      <c r="E798">
        <f>37+13</f>
        <v>50</v>
      </c>
      <c r="F798">
        <f>14-13+0</f>
        <v>1</v>
      </c>
      <c r="G798">
        <v>0</v>
      </c>
    </row>
    <row r="799" spans="1:7" x14ac:dyDescent="0.25">
      <c r="A799" s="3" t="s">
        <v>39</v>
      </c>
      <c r="B799" s="3" t="s">
        <v>186</v>
      </c>
      <c r="C799" s="3">
        <v>46</v>
      </c>
      <c r="D799" s="3">
        <v>38</v>
      </c>
      <c r="E799" s="3">
        <v>37</v>
      </c>
      <c r="F799" s="3">
        <v>1</v>
      </c>
      <c r="G799" s="3">
        <v>5</v>
      </c>
    </row>
    <row r="800" spans="1:7" x14ac:dyDescent="0.25">
      <c r="A800" t="s">
        <v>39</v>
      </c>
      <c r="B800" t="s">
        <v>187</v>
      </c>
      <c r="C800">
        <v>92</v>
      </c>
      <c r="D800">
        <v>92</v>
      </c>
      <c r="E800">
        <f>81+11</f>
        <v>92</v>
      </c>
      <c r="F800">
        <v>0</v>
      </c>
      <c r="G800">
        <v>0</v>
      </c>
    </row>
    <row r="801" spans="1:7" x14ac:dyDescent="0.25">
      <c r="A801" s="3" t="s">
        <v>39</v>
      </c>
      <c r="B801" s="3" t="s">
        <v>187</v>
      </c>
      <c r="C801" s="3">
        <v>65</v>
      </c>
      <c r="D801" s="3">
        <v>60</v>
      </c>
      <c r="E801" s="3">
        <v>53</v>
      </c>
      <c r="F801" s="3">
        <v>7</v>
      </c>
      <c r="G801" s="3">
        <v>4</v>
      </c>
    </row>
    <row r="802" spans="1:7" x14ac:dyDescent="0.25">
      <c r="A802" t="s">
        <v>39</v>
      </c>
      <c r="B802" t="s">
        <v>6</v>
      </c>
      <c r="C802">
        <v>10</v>
      </c>
      <c r="D802">
        <v>10</v>
      </c>
      <c r="E802">
        <v>10</v>
      </c>
      <c r="F802">
        <v>0</v>
      </c>
      <c r="G802">
        <v>0</v>
      </c>
    </row>
    <row r="803" spans="1:7" x14ac:dyDescent="0.25">
      <c r="A803" s="3" t="s">
        <v>39</v>
      </c>
      <c r="B803" s="3" t="s">
        <v>6</v>
      </c>
      <c r="C803" s="3">
        <v>21</v>
      </c>
      <c r="D803" s="3">
        <v>21</v>
      </c>
      <c r="E803" s="3">
        <v>21</v>
      </c>
      <c r="F803" s="3">
        <v>0</v>
      </c>
      <c r="G803" s="3">
        <v>0</v>
      </c>
    </row>
    <row r="804" spans="1:7" x14ac:dyDescent="0.25">
      <c r="A804" t="s">
        <v>39</v>
      </c>
      <c r="B804" t="s">
        <v>8</v>
      </c>
      <c r="C804">
        <v>96</v>
      </c>
      <c r="D804">
        <v>95</v>
      </c>
      <c r="E804">
        <v>82</v>
      </c>
      <c r="F804">
        <v>13</v>
      </c>
      <c r="G804">
        <v>1</v>
      </c>
    </row>
    <row r="805" spans="1:7" x14ac:dyDescent="0.25">
      <c r="A805" s="3" t="s">
        <v>39</v>
      </c>
      <c r="B805" s="3" t="s">
        <v>8</v>
      </c>
      <c r="C805" s="3">
        <v>57</v>
      </c>
      <c r="D805" s="3">
        <v>56</v>
      </c>
      <c r="E805" s="3">
        <v>44</v>
      </c>
      <c r="F805" s="3">
        <v>12</v>
      </c>
      <c r="G805" s="3">
        <v>0</v>
      </c>
    </row>
    <row r="806" spans="1:7" x14ac:dyDescent="0.25">
      <c r="A806" t="s">
        <v>39</v>
      </c>
      <c r="B806" t="s">
        <v>9</v>
      </c>
      <c r="C806">
        <v>78</v>
      </c>
      <c r="D806">
        <v>78</v>
      </c>
      <c r="E806">
        <v>71</v>
      </c>
      <c r="F806">
        <v>7</v>
      </c>
      <c r="G806">
        <v>0</v>
      </c>
    </row>
    <row r="807" spans="1:7" x14ac:dyDescent="0.25">
      <c r="A807" s="3" t="s">
        <v>39</v>
      </c>
      <c r="B807" s="3" t="s">
        <v>9</v>
      </c>
      <c r="C807" s="3">
        <v>30</v>
      </c>
      <c r="D807" s="3">
        <v>27</v>
      </c>
      <c r="E807" s="3">
        <v>25</v>
      </c>
      <c r="F807" s="3">
        <v>2</v>
      </c>
      <c r="G807" s="3">
        <v>0</v>
      </c>
    </row>
    <row r="808" spans="1:7" x14ac:dyDescent="0.25">
      <c r="A808" t="s">
        <v>39</v>
      </c>
      <c r="B808" t="s">
        <v>10</v>
      </c>
      <c r="C808">
        <v>120</v>
      </c>
      <c r="D808">
        <v>120</v>
      </c>
      <c r="E808">
        <v>115</v>
      </c>
      <c r="F808">
        <v>5</v>
      </c>
      <c r="G808">
        <v>0</v>
      </c>
    </row>
    <row r="809" spans="1:7" x14ac:dyDescent="0.25">
      <c r="A809" s="3" t="s">
        <v>39</v>
      </c>
      <c r="B809" s="3" t="s">
        <v>10</v>
      </c>
      <c r="C809" s="3">
        <v>80</v>
      </c>
      <c r="D809" s="3">
        <v>79</v>
      </c>
      <c r="E809" s="3">
        <v>70</v>
      </c>
      <c r="F809" s="3">
        <v>9</v>
      </c>
      <c r="G809" s="3">
        <v>1</v>
      </c>
    </row>
    <row r="810" spans="1:7" x14ac:dyDescent="0.25">
      <c r="A810" t="s">
        <v>39</v>
      </c>
      <c r="B810" t="s">
        <v>177</v>
      </c>
      <c r="C810">
        <v>9</v>
      </c>
      <c r="D810">
        <v>9</v>
      </c>
      <c r="E810">
        <v>9</v>
      </c>
      <c r="F810">
        <v>0</v>
      </c>
      <c r="G810">
        <v>0</v>
      </c>
    </row>
    <row r="811" spans="1:7" x14ac:dyDescent="0.25">
      <c r="A811" s="3" t="s">
        <v>39</v>
      </c>
      <c r="B811" s="3" t="s">
        <v>177</v>
      </c>
      <c r="C811" s="3">
        <v>29</v>
      </c>
      <c r="D811" s="3">
        <v>28</v>
      </c>
      <c r="E811" s="3">
        <v>27</v>
      </c>
      <c r="F811" s="3">
        <v>1</v>
      </c>
      <c r="G811" s="3">
        <v>0</v>
      </c>
    </row>
    <row r="812" spans="1:7" x14ac:dyDescent="0.25">
      <c r="A812" t="s">
        <v>167</v>
      </c>
      <c r="B812" t="s">
        <v>27</v>
      </c>
      <c r="C812">
        <v>2</v>
      </c>
      <c r="D812">
        <v>0</v>
      </c>
      <c r="E812">
        <v>0</v>
      </c>
      <c r="F812">
        <v>0</v>
      </c>
      <c r="G812">
        <v>0</v>
      </c>
    </row>
    <row r="813" spans="1:7" x14ac:dyDescent="0.25">
      <c r="A813" t="s">
        <v>167</v>
      </c>
      <c r="B813" t="s">
        <v>5</v>
      </c>
      <c r="C813">
        <v>3</v>
      </c>
      <c r="D813">
        <v>3</v>
      </c>
      <c r="E813">
        <v>3</v>
      </c>
      <c r="F813">
        <v>0</v>
      </c>
      <c r="G813">
        <v>0</v>
      </c>
    </row>
    <row r="814" spans="1:7" x14ac:dyDescent="0.25">
      <c r="A814" s="3" t="s">
        <v>167</v>
      </c>
      <c r="B814" s="3" t="s">
        <v>5</v>
      </c>
      <c r="C814" s="3">
        <v>8</v>
      </c>
      <c r="D814" s="3">
        <v>8</v>
      </c>
      <c r="E814" s="3">
        <v>5</v>
      </c>
      <c r="F814" s="3">
        <v>3</v>
      </c>
      <c r="G814" s="3">
        <v>0</v>
      </c>
    </row>
    <row r="815" spans="1:7" x14ac:dyDescent="0.25">
      <c r="A815" t="s">
        <v>167</v>
      </c>
      <c r="B815" t="s">
        <v>185</v>
      </c>
      <c r="C815">
        <f>2+1</f>
        <v>3</v>
      </c>
      <c r="D815">
        <f>2+1</f>
        <v>3</v>
      </c>
      <c r="E815">
        <f>1+1</f>
        <v>2</v>
      </c>
      <c r="F815">
        <v>1</v>
      </c>
      <c r="G815">
        <v>0</v>
      </c>
    </row>
    <row r="816" spans="1:7" x14ac:dyDescent="0.25">
      <c r="A816" s="3" t="s">
        <v>167</v>
      </c>
      <c r="B816" s="3" t="s">
        <v>185</v>
      </c>
      <c r="C816" s="3">
        <v>4</v>
      </c>
      <c r="D816" s="3">
        <v>4</v>
      </c>
      <c r="E816" s="3">
        <v>3</v>
      </c>
      <c r="F816" s="3">
        <v>1</v>
      </c>
      <c r="G816" s="3">
        <v>0</v>
      </c>
    </row>
    <row r="817" spans="1:7" x14ac:dyDescent="0.25">
      <c r="A817" t="s">
        <v>167</v>
      </c>
      <c r="B817" t="s">
        <v>186</v>
      </c>
      <c r="C817">
        <f>12+1</f>
        <v>13</v>
      </c>
      <c r="D817">
        <f>11+1</f>
        <v>12</v>
      </c>
      <c r="E817">
        <v>12</v>
      </c>
      <c r="F817">
        <v>0</v>
      </c>
      <c r="G817">
        <v>0</v>
      </c>
    </row>
    <row r="818" spans="1:7" x14ac:dyDescent="0.25">
      <c r="A818" s="3" t="s">
        <v>167</v>
      </c>
      <c r="B818" s="3" t="s">
        <v>186</v>
      </c>
      <c r="C818" s="3">
        <v>5</v>
      </c>
      <c r="D818" s="3">
        <v>5</v>
      </c>
      <c r="E818" s="3">
        <v>4</v>
      </c>
      <c r="F818" s="3">
        <v>1</v>
      </c>
      <c r="G818" s="3">
        <v>0</v>
      </c>
    </row>
    <row r="819" spans="1:7" x14ac:dyDescent="0.25">
      <c r="A819" t="s">
        <v>167</v>
      </c>
      <c r="B819" t="s">
        <v>187</v>
      </c>
      <c r="C819">
        <v>7</v>
      </c>
      <c r="D819">
        <v>7</v>
      </c>
      <c r="E819">
        <v>6</v>
      </c>
      <c r="F819">
        <v>1</v>
      </c>
      <c r="G819">
        <v>0</v>
      </c>
    </row>
    <row r="820" spans="1:7" x14ac:dyDescent="0.25">
      <c r="A820" s="3" t="s">
        <v>167</v>
      </c>
      <c r="B820" s="3" t="s">
        <v>187</v>
      </c>
      <c r="C820" s="3">
        <v>9</v>
      </c>
      <c r="D820" s="3">
        <v>9</v>
      </c>
      <c r="E820" s="3">
        <v>7</v>
      </c>
      <c r="F820" s="3">
        <v>2</v>
      </c>
      <c r="G820" s="3">
        <v>0</v>
      </c>
    </row>
    <row r="821" spans="1:7" x14ac:dyDescent="0.25">
      <c r="A821" t="s">
        <v>167</v>
      </c>
      <c r="B821" t="s">
        <v>6</v>
      </c>
      <c r="C821">
        <v>3</v>
      </c>
      <c r="D821">
        <v>3</v>
      </c>
      <c r="E821">
        <v>3</v>
      </c>
      <c r="F821">
        <v>0</v>
      </c>
      <c r="G821">
        <v>0</v>
      </c>
    </row>
    <row r="822" spans="1:7" x14ac:dyDescent="0.25">
      <c r="A822" s="3" t="s">
        <v>167</v>
      </c>
      <c r="B822" s="3" t="s">
        <v>7</v>
      </c>
      <c r="C822" s="3">
        <v>1</v>
      </c>
      <c r="D822" s="3">
        <v>1</v>
      </c>
      <c r="E822" s="3">
        <v>0</v>
      </c>
      <c r="F822" s="3">
        <v>1</v>
      </c>
      <c r="G822" s="3">
        <v>0</v>
      </c>
    </row>
    <row r="823" spans="1:7" x14ac:dyDescent="0.25">
      <c r="A823" t="s">
        <v>167</v>
      </c>
      <c r="B823" t="s">
        <v>8</v>
      </c>
      <c r="C823">
        <v>2</v>
      </c>
      <c r="D823">
        <v>2</v>
      </c>
      <c r="E823">
        <v>1</v>
      </c>
      <c r="F823">
        <v>1</v>
      </c>
      <c r="G823">
        <v>0</v>
      </c>
    </row>
    <row r="824" spans="1:7" x14ac:dyDescent="0.25">
      <c r="A824" s="3" t="s">
        <v>167</v>
      </c>
      <c r="B824" s="3" t="s">
        <v>8</v>
      </c>
      <c r="C824" s="3">
        <v>5</v>
      </c>
      <c r="D824" s="3">
        <v>4</v>
      </c>
      <c r="E824" s="3">
        <v>1</v>
      </c>
      <c r="F824" s="3">
        <v>3</v>
      </c>
      <c r="G824" s="3">
        <v>0</v>
      </c>
    </row>
    <row r="825" spans="1:7" x14ac:dyDescent="0.25">
      <c r="A825" t="s">
        <v>167</v>
      </c>
      <c r="B825" t="s">
        <v>9</v>
      </c>
      <c r="C825">
        <v>2</v>
      </c>
      <c r="D825">
        <v>2</v>
      </c>
      <c r="E825">
        <v>2</v>
      </c>
      <c r="F825">
        <v>0</v>
      </c>
      <c r="G825">
        <v>0</v>
      </c>
    </row>
    <row r="826" spans="1:7" x14ac:dyDescent="0.25">
      <c r="A826" t="s">
        <v>167</v>
      </c>
      <c r="B826" t="s">
        <v>10</v>
      </c>
      <c r="C826">
        <v>16</v>
      </c>
      <c r="D826">
        <v>16</v>
      </c>
      <c r="E826">
        <v>11</v>
      </c>
      <c r="F826">
        <v>5</v>
      </c>
      <c r="G826">
        <v>0</v>
      </c>
    </row>
    <row r="827" spans="1:7" x14ac:dyDescent="0.25">
      <c r="A827" s="3" t="s">
        <v>167</v>
      </c>
      <c r="B827" s="3" t="s">
        <v>10</v>
      </c>
      <c r="C827" s="3">
        <v>9</v>
      </c>
      <c r="D827" s="3">
        <v>9</v>
      </c>
      <c r="E827" s="3">
        <v>7</v>
      </c>
      <c r="F827" s="3">
        <v>2</v>
      </c>
      <c r="G827" s="3">
        <v>0</v>
      </c>
    </row>
    <row r="828" spans="1:7" x14ac:dyDescent="0.25">
      <c r="A828" t="s">
        <v>167</v>
      </c>
      <c r="B828" t="s">
        <v>177</v>
      </c>
      <c r="C828">
        <v>1</v>
      </c>
      <c r="D828">
        <v>1</v>
      </c>
      <c r="E828">
        <v>1</v>
      </c>
      <c r="F828">
        <v>0</v>
      </c>
      <c r="G828">
        <v>0</v>
      </c>
    </row>
    <row r="829" spans="1:7" x14ac:dyDescent="0.25">
      <c r="A829" s="3" t="s">
        <v>167</v>
      </c>
      <c r="B829" s="3" t="s">
        <v>177</v>
      </c>
      <c r="C829" s="3">
        <v>2</v>
      </c>
      <c r="D829" s="3">
        <v>2</v>
      </c>
      <c r="E829" s="3">
        <v>2</v>
      </c>
      <c r="F829" s="3">
        <v>0</v>
      </c>
      <c r="G829" s="3">
        <v>0</v>
      </c>
    </row>
    <row r="830" spans="1:7" x14ac:dyDescent="0.25">
      <c r="A830" t="s">
        <v>178</v>
      </c>
      <c r="B830" t="s">
        <v>1</v>
      </c>
      <c r="C830">
        <v>1</v>
      </c>
      <c r="D830">
        <v>1</v>
      </c>
      <c r="E830">
        <v>0</v>
      </c>
      <c r="F830">
        <v>1</v>
      </c>
      <c r="G830">
        <v>0</v>
      </c>
    </row>
    <row r="831" spans="1:7" x14ac:dyDescent="0.25">
      <c r="A831" t="s">
        <v>178</v>
      </c>
      <c r="B831" t="s">
        <v>2</v>
      </c>
      <c r="C831">
        <v>3</v>
      </c>
      <c r="D831">
        <v>3</v>
      </c>
      <c r="E831">
        <v>3</v>
      </c>
      <c r="F831">
        <v>0</v>
      </c>
      <c r="G831">
        <v>0</v>
      </c>
    </row>
    <row r="832" spans="1:7" x14ac:dyDescent="0.25">
      <c r="A832" s="3" t="s">
        <v>178</v>
      </c>
      <c r="B832" s="3" t="s">
        <v>2</v>
      </c>
      <c r="C832" s="3">
        <v>1</v>
      </c>
      <c r="D832" s="3">
        <v>1</v>
      </c>
      <c r="E832" s="3">
        <v>1</v>
      </c>
      <c r="F832" s="3">
        <v>0</v>
      </c>
      <c r="G832" s="3">
        <v>0</v>
      </c>
    </row>
    <row r="833" spans="1:7" x14ac:dyDescent="0.25">
      <c r="A833" t="s">
        <v>178</v>
      </c>
      <c r="B833" t="s">
        <v>4</v>
      </c>
      <c r="C833">
        <v>2</v>
      </c>
      <c r="D833">
        <v>0</v>
      </c>
      <c r="E833">
        <v>0</v>
      </c>
      <c r="F833">
        <v>0</v>
      </c>
      <c r="G833">
        <v>0</v>
      </c>
    </row>
    <row r="834" spans="1:7" x14ac:dyDescent="0.25">
      <c r="A834" t="s">
        <v>178</v>
      </c>
      <c r="B834" t="s">
        <v>5</v>
      </c>
      <c r="C834">
        <v>2</v>
      </c>
      <c r="D834">
        <v>2</v>
      </c>
      <c r="E834">
        <v>2</v>
      </c>
      <c r="F834">
        <v>0</v>
      </c>
      <c r="G834">
        <v>0</v>
      </c>
    </row>
    <row r="835" spans="1:7" x14ac:dyDescent="0.25">
      <c r="A835" s="3" t="s">
        <v>178</v>
      </c>
      <c r="B835" s="3" t="s">
        <v>5</v>
      </c>
      <c r="C835" s="3">
        <v>2</v>
      </c>
      <c r="D835" s="3">
        <v>2</v>
      </c>
      <c r="E835" s="3">
        <v>2</v>
      </c>
      <c r="F835" s="3">
        <v>0</v>
      </c>
      <c r="G835" s="3">
        <v>0</v>
      </c>
    </row>
    <row r="836" spans="1:7" x14ac:dyDescent="0.25">
      <c r="A836" t="s">
        <v>178</v>
      </c>
      <c r="B836" t="s">
        <v>185</v>
      </c>
      <c r="C836">
        <f>26+4</f>
        <v>30</v>
      </c>
      <c r="D836">
        <f>26+4</f>
        <v>30</v>
      </c>
      <c r="E836">
        <f>24+2</f>
        <v>26</v>
      </c>
      <c r="F836">
        <f>6-3+1</f>
        <v>4</v>
      </c>
      <c r="G836">
        <v>0</v>
      </c>
    </row>
    <row r="837" spans="1:7" x14ac:dyDescent="0.25">
      <c r="A837" s="3" t="s">
        <v>178</v>
      </c>
      <c r="B837" s="3" t="s">
        <v>185</v>
      </c>
      <c r="C837" s="3">
        <v>14</v>
      </c>
      <c r="D837" s="3">
        <v>14</v>
      </c>
      <c r="E837" s="3">
        <v>12</v>
      </c>
      <c r="F837" s="3">
        <v>2</v>
      </c>
      <c r="G837" s="3">
        <v>0</v>
      </c>
    </row>
    <row r="838" spans="1:7" x14ac:dyDescent="0.25">
      <c r="A838" t="s">
        <v>178</v>
      </c>
      <c r="B838" t="s">
        <v>186</v>
      </c>
      <c r="C838">
        <f>29+2</f>
        <v>31</v>
      </c>
      <c r="D838">
        <f>28+2</f>
        <v>30</v>
      </c>
      <c r="E838">
        <f>25+1</f>
        <v>26</v>
      </c>
      <c r="F838">
        <f>3+1</f>
        <v>4</v>
      </c>
      <c r="G838">
        <v>1</v>
      </c>
    </row>
    <row r="839" spans="1:7" x14ac:dyDescent="0.25">
      <c r="A839" s="3" t="s">
        <v>178</v>
      </c>
      <c r="B839" s="3" t="s">
        <v>186</v>
      </c>
      <c r="C839" s="3">
        <v>23</v>
      </c>
      <c r="D839" s="3">
        <v>20</v>
      </c>
      <c r="E839" s="3">
        <f>12+4</f>
        <v>16</v>
      </c>
      <c r="F839" s="3">
        <f>8-4+0</f>
        <v>4</v>
      </c>
      <c r="G839" s="3">
        <v>0</v>
      </c>
    </row>
    <row r="840" spans="1:7" x14ac:dyDescent="0.25">
      <c r="A840" t="s">
        <v>178</v>
      </c>
      <c r="B840" t="s">
        <v>187</v>
      </c>
      <c r="C840">
        <f>36+1</f>
        <v>37</v>
      </c>
      <c r="D840">
        <f>36+1</f>
        <v>37</v>
      </c>
      <c r="E840">
        <f>31+4</f>
        <v>35</v>
      </c>
      <c r="F840">
        <f>6-4+0</f>
        <v>2</v>
      </c>
      <c r="G840">
        <v>0</v>
      </c>
    </row>
    <row r="841" spans="1:7" x14ac:dyDescent="0.25">
      <c r="A841" s="3" t="s">
        <v>178</v>
      </c>
      <c r="B841" s="3" t="s">
        <v>187</v>
      </c>
      <c r="C841" s="3">
        <v>20</v>
      </c>
      <c r="D841" s="3">
        <v>19</v>
      </c>
      <c r="E841" s="3">
        <v>16</v>
      </c>
      <c r="F841" s="3">
        <v>3</v>
      </c>
      <c r="G841" s="3">
        <v>1</v>
      </c>
    </row>
    <row r="842" spans="1:7" x14ac:dyDescent="0.25">
      <c r="A842" t="s">
        <v>178</v>
      </c>
      <c r="B842" t="s">
        <v>6</v>
      </c>
      <c r="C842">
        <v>5</v>
      </c>
      <c r="D842">
        <v>5</v>
      </c>
      <c r="E842">
        <v>5</v>
      </c>
      <c r="F842">
        <v>0</v>
      </c>
      <c r="G842">
        <v>0</v>
      </c>
    </row>
    <row r="843" spans="1:7" x14ac:dyDescent="0.25">
      <c r="A843" s="3" t="s">
        <v>178</v>
      </c>
      <c r="B843" s="3" t="s">
        <v>6</v>
      </c>
      <c r="C843" s="3">
        <v>4</v>
      </c>
      <c r="D843" s="3">
        <v>3</v>
      </c>
      <c r="E843" s="3">
        <v>3</v>
      </c>
      <c r="F843" s="3">
        <v>0</v>
      </c>
      <c r="G843" s="3">
        <v>0</v>
      </c>
    </row>
    <row r="844" spans="1:7" x14ac:dyDescent="0.25">
      <c r="A844" t="s">
        <v>178</v>
      </c>
      <c r="B844" t="s">
        <v>8</v>
      </c>
      <c r="C844">
        <v>8</v>
      </c>
      <c r="D844">
        <v>8</v>
      </c>
      <c r="E844">
        <v>7</v>
      </c>
      <c r="F844">
        <v>1</v>
      </c>
      <c r="G844">
        <v>0</v>
      </c>
    </row>
    <row r="845" spans="1:7" x14ac:dyDescent="0.25">
      <c r="A845" s="3" t="s">
        <v>178</v>
      </c>
      <c r="B845" s="3" t="s">
        <v>8</v>
      </c>
      <c r="C845" s="3">
        <v>6</v>
      </c>
      <c r="D845" s="3">
        <v>6</v>
      </c>
      <c r="E845" s="3">
        <v>4</v>
      </c>
      <c r="F845" s="3">
        <v>2</v>
      </c>
      <c r="G845" s="3">
        <v>0</v>
      </c>
    </row>
    <row r="846" spans="1:7" x14ac:dyDescent="0.25">
      <c r="A846" s="3" t="s">
        <v>178</v>
      </c>
      <c r="B846" s="3" t="s">
        <v>9</v>
      </c>
      <c r="C846" s="3">
        <v>3</v>
      </c>
      <c r="D846" s="3">
        <v>3</v>
      </c>
      <c r="E846" s="3">
        <v>3</v>
      </c>
      <c r="F846" s="3">
        <v>0</v>
      </c>
      <c r="G846" s="3">
        <v>0</v>
      </c>
    </row>
    <row r="847" spans="1:7" x14ac:dyDescent="0.25">
      <c r="A847" t="s">
        <v>178</v>
      </c>
      <c r="B847" t="s">
        <v>10</v>
      </c>
      <c r="C847">
        <v>23</v>
      </c>
      <c r="D847">
        <v>23</v>
      </c>
      <c r="E847">
        <v>21</v>
      </c>
      <c r="F847">
        <v>2</v>
      </c>
      <c r="G847">
        <v>0</v>
      </c>
    </row>
    <row r="848" spans="1:7" x14ac:dyDescent="0.25">
      <c r="A848" s="3" t="s">
        <v>178</v>
      </c>
      <c r="B848" s="3" t="s">
        <v>10</v>
      </c>
      <c r="C848" s="3">
        <v>20</v>
      </c>
      <c r="D848" s="3">
        <v>20</v>
      </c>
      <c r="E848" s="3">
        <v>15</v>
      </c>
      <c r="F848" s="3">
        <v>5</v>
      </c>
      <c r="G848" s="3">
        <v>0</v>
      </c>
    </row>
    <row r="849" spans="1:7" x14ac:dyDescent="0.25">
      <c r="A849" s="3" t="s">
        <v>178</v>
      </c>
      <c r="B849" s="3" t="s">
        <v>177</v>
      </c>
      <c r="C849" s="3">
        <v>2</v>
      </c>
      <c r="D849" s="3">
        <v>1</v>
      </c>
      <c r="E849" s="3">
        <v>1</v>
      </c>
      <c r="F849" s="3">
        <v>0</v>
      </c>
      <c r="G849" s="3">
        <v>0</v>
      </c>
    </row>
    <row r="850" spans="1:7" x14ac:dyDescent="0.25">
      <c r="A850" t="s">
        <v>107</v>
      </c>
      <c r="B850" t="s">
        <v>2</v>
      </c>
      <c r="C850">
        <v>1</v>
      </c>
      <c r="D850">
        <v>1</v>
      </c>
      <c r="E850">
        <v>1</v>
      </c>
      <c r="F850">
        <v>0</v>
      </c>
      <c r="G850">
        <v>0</v>
      </c>
    </row>
    <row r="851" spans="1:7" x14ac:dyDescent="0.25">
      <c r="A851" t="s">
        <v>107</v>
      </c>
      <c r="B851" t="s">
        <v>5</v>
      </c>
      <c r="C851">
        <v>11</v>
      </c>
      <c r="D851">
        <v>11</v>
      </c>
      <c r="E851">
        <v>10</v>
      </c>
      <c r="F851">
        <v>1</v>
      </c>
      <c r="G851">
        <v>0</v>
      </c>
    </row>
    <row r="852" spans="1:7" x14ac:dyDescent="0.25">
      <c r="A852" s="3" t="s">
        <v>107</v>
      </c>
      <c r="B852" s="3" t="s">
        <v>5</v>
      </c>
      <c r="C852" s="3">
        <v>15</v>
      </c>
      <c r="D852" s="3">
        <v>15</v>
      </c>
      <c r="E852" s="3">
        <v>15</v>
      </c>
      <c r="F852" s="3">
        <v>0</v>
      </c>
      <c r="G852" s="3">
        <v>0</v>
      </c>
    </row>
    <row r="853" spans="1:7" x14ac:dyDescent="0.25">
      <c r="A853" t="s">
        <v>107</v>
      </c>
      <c r="B853" t="s">
        <v>185</v>
      </c>
      <c r="C853">
        <f>28+5</f>
        <v>33</v>
      </c>
      <c r="D853">
        <f>28+4</f>
        <v>32</v>
      </c>
      <c r="E853">
        <f>18+5</f>
        <v>23</v>
      </c>
      <c r="F853">
        <f>14-11+6</f>
        <v>9</v>
      </c>
      <c r="G853">
        <v>0</v>
      </c>
    </row>
    <row r="854" spans="1:7" x14ac:dyDescent="0.25">
      <c r="A854" s="3" t="s">
        <v>107</v>
      </c>
      <c r="B854" s="3" t="s">
        <v>185</v>
      </c>
      <c r="C854" s="3">
        <v>13</v>
      </c>
      <c r="D854" s="3">
        <v>13</v>
      </c>
      <c r="E854" s="3">
        <v>7</v>
      </c>
      <c r="F854" s="3">
        <v>6</v>
      </c>
      <c r="G854" s="3">
        <v>0</v>
      </c>
    </row>
    <row r="855" spans="1:7" x14ac:dyDescent="0.25">
      <c r="A855" t="s">
        <v>107</v>
      </c>
      <c r="B855" t="s">
        <v>186</v>
      </c>
      <c r="C855">
        <f>34+2</f>
        <v>36</v>
      </c>
      <c r="D855">
        <f>30+1</f>
        <v>31</v>
      </c>
      <c r="E855">
        <f>22+4</f>
        <v>26</v>
      </c>
      <c r="F855">
        <f>9-8+4</f>
        <v>5</v>
      </c>
      <c r="G855">
        <v>0</v>
      </c>
    </row>
    <row r="856" spans="1:7" x14ac:dyDescent="0.25">
      <c r="A856" s="3" t="s">
        <v>107</v>
      </c>
      <c r="B856" s="3" t="s">
        <v>186</v>
      </c>
      <c r="C856" s="3">
        <v>28</v>
      </c>
      <c r="D856" s="3">
        <v>26</v>
      </c>
      <c r="E856" s="3">
        <v>20</v>
      </c>
      <c r="F856" s="3">
        <v>6</v>
      </c>
      <c r="G856" s="3">
        <v>0</v>
      </c>
    </row>
    <row r="857" spans="1:7" x14ac:dyDescent="0.25">
      <c r="A857" t="s">
        <v>107</v>
      </c>
      <c r="B857" t="s">
        <v>187</v>
      </c>
      <c r="C857">
        <f>60+1</f>
        <v>61</v>
      </c>
      <c r="D857">
        <v>57</v>
      </c>
      <c r="E857">
        <f>28+17</f>
        <v>45</v>
      </c>
      <c r="F857">
        <f>30-22+4</f>
        <v>12</v>
      </c>
      <c r="G857">
        <v>0</v>
      </c>
    </row>
    <row r="858" spans="1:7" x14ac:dyDescent="0.25">
      <c r="A858" s="3" t="s">
        <v>107</v>
      </c>
      <c r="B858" s="3" t="s">
        <v>187</v>
      </c>
      <c r="C858" s="3">
        <v>31</v>
      </c>
      <c r="D858" s="3">
        <v>31</v>
      </c>
      <c r="E858" s="3">
        <v>22</v>
      </c>
      <c r="F858" s="3">
        <v>9</v>
      </c>
      <c r="G858" s="3">
        <v>0</v>
      </c>
    </row>
    <row r="859" spans="1:7" x14ac:dyDescent="0.25">
      <c r="A859" t="s">
        <v>107</v>
      </c>
      <c r="B859" t="s">
        <v>6</v>
      </c>
      <c r="C859">
        <v>21</v>
      </c>
      <c r="D859">
        <v>20</v>
      </c>
      <c r="E859">
        <v>20</v>
      </c>
      <c r="F859">
        <v>0</v>
      </c>
      <c r="G859">
        <v>0</v>
      </c>
    </row>
    <row r="860" spans="1:7" x14ac:dyDescent="0.25">
      <c r="A860" s="3" t="s">
        <v>107</v>
      </c>
      <c r="B860" s="3" t="s">
        <v>6</v>
      </c>
      <c r="C860" s="3">
        <v>3</v>
      </c>
      <c r="D860" s="3">
        <v>3</v>
      </c>
      <c r="E860" s="3">
        <v>3</v>
      </c>
      <c r="F860" s="3">
        <v>0</v>
      </c>
      <c r="G860" s="3">
        <v>0</v>
      </c>
    </row>
    <row r="861" spans="1:7" x14ac:dyDescent="0.25">
      <c r="A861" t="s">
        <v>107</v>
      </c>
      <c r="B861" t="s">
        <v>8</v>
      </c>
      <c r="C861">
        <v>8</v>
      </c>
      <c r="D861">
        <v>8</v>
      </c>
      <c r="E861">
        <v>5</v>
      </c>
      <c r="F861">
        <v>3</v>
      </c>
      <c r="G861">
        <v>0</v>
      </c>
    </row>
    <row r="862" spans="1:7" x14ac:dyDescent="0.25">
      <c r="A862" s="3" t="s">
        <v>107</v>
      </c>
      <c r="B862" s="3" t="s">
        <v>8</v>
      </c>
      <c r="C862" s="3">
        <v>5</v>
      </c>
      <c r="D862" s="3">
        <v>5</v>
      </c>
      <c r="E862" s="3">
        <v>4</v>
      </c>
      <c r="F862" s="3">
        <v>1</v>
      </c>
      <c r="G862" s="3">
        <v>0</v>
      </c>
    </row>
    <row r="863" spans="1:7" x14ac:dyDescent="0.25">
      <c r="A863" t="s">
        <v>107</v>
      </c>
      <c r="B863" t="s">
        <v>9</v>
      </c>
      <c r="C863">
        <v>3</v>
      </c>
      <c r="D863">
        <v>3</v>
      </c>
      <c r="E863">
        <v>2</v>
      </c>
      <c r="F863">
        <v>1</v>
      </c>
      <c r="G863">
        <v>0</v>
      </c>
    </row>
    <row r="864" spans="1:7" x14ac:dyDescent="0.25">
      <c r="A864" s="3" t="s">
        <v>107</v>
      </c>
      <c r="B864" s="3" t="s">
        <v>9</v>
      </c>
      <c r="C864" s="3">
        <v>3</v>
      </c>
      <c r="D864" s="3">
        <v>2</v>
      </c>
      <c r="E864" s="3">
        <v>1</v>
      </c>
      <c r="F864" s="3">
        <v>1</v>
      </c>
      <c r="G864" s="3">
        <v>0</v>
      </c>
    </row>
    <row r="865" spans="1:7" x14ac:dyDescent="0.25">
      <c r="A865" t="s">
        <v>107</v>
      </c>
      <c r="B865" t="s">
        <v>10</v>
      </c>
      <c r="C865">
        <v>52</v>
      </c>
      <c r="D865">
        <v>52</v>
      </c>
      <c r="E865">
        <v>46</v>
      </c>
      <c r="F865">
        <v>6</v>
      </c>
      <c r="G865">
        <v>0</v>
      </c>
    </row>
    <row r="866" spans="1:7" x14ac:dyDescent="0.25">
      <c r="A866" s="3" t="s">
        <v>107</v>
      </c>
      <c r="B866" s="3" t="s">
        <v>10</v>
      </c>
      <c r="C866" s="3">
        <v>28</v>
      </c>
      <c r="D866" s="3">
        <v>28</v>
      </c>
      <c r="E866" s="3">
        <v>17</v>
      </c>
      <c r="F866" s="3">
        <v>11</v>
      </c>
      <c r="G866" s="3">
        <v>0</v>
      </c>
    </row>
    <row r="867" spans="1:7" x14ac:dyDescent="0.25">
      <c r="A867" t="s">
        <v>107</v>
      </c>
      <c r="B867" t="s">
        <v>177</v>
      </c>
      <c r="C867">
        <v>13</v>
      </c>
      <c r="D867">
        <v>13</v>
      </c>
      <c r="E867">
        <v>13</v>
      </c>
      <c r="F867">
        <v>0</v>
      </c>
      <c r="G867">
        <v>0</v>
      </c>
    </row>
    <row r="868" spans="1:7" x14ac:dyDescent="0.25">
      <c r="A868" s="3" t="s">
        <v>107</v>
      </c>
      <c r="B868" s="3" t="s">
        <v>177</v>
      </c>
      <c r="C868" s="3">
        <v>10</v>
      </c>
      <c r="D868" s="3">
        <v>10</v>
      </c>
      <c r="E868" s="3">
        <v>10</v>
      </c>
      <c r="F868" s="3">
        <v>0</v>
      </c>
      <c r="G868" s="3">
        <v>0</v>
      </c>
    </row>
    <row r="869" spans="1:7" x14ac:dyDescent="0.25">
      <c r="A869" t="s">
        <v>134</v>
      </c>
      <c r="B869" t="s">
        <v>2</v>
      </c>
      <c r="C869">
        <v>3</v>
      </c>
      <c r="D869">
        <v>1</v>
      </c>
      <c r="E869">
        <v>1</v>
      </c>
      <c r="F869">
        <v>0</v>
      </c>
      <c r="G869">
        <v>0</v>
      </c>
    </row>
    <row r="870" spans="1:7" x14ac:dyDescent="0.25">
      <c r="A870" s="3" t="s">
        <v>134</v>
      </c>
      <c r="B870" s="3" t="s">
        <v>2</v>
      </c>
      <c r="C870" s="3">
        <v>1</v>
      </c>
      <c r="D870" s="3">
        <v>1</v>
      </c>
      <c r="E870" s="3">
        <v>1</v>
      </c>
      <c r="F870" s="3">
        <v>0</v>
      </c>
      <c r="G870" s="3">
        <v>0</v>
      </c>
    </row>
    <row r="871" spans="1:7" x14ac:dyDescent="0.25">
      <c r="A871" t="s">
        <v>134</v>
      </c>
      <c r="B871" t="s">
        <v>5</v>
      </c>
      <c r="C871">
        <v>5</v>
      </c>
      <c r="D871">
        <v>5</v>
      </c>
      <c r="E871">
        <v>5</v>
      </c>
      <c r="F871">
        <v>0</v>
      </c>
      <c r="G871">
        <v>0</v>
      </c>
    </row>
    <row r="872" spans="1:7" x14ac:dyDescent="0.25">
      <c r="A872" s="3" t="s">
        <v>134</v>
      </c>
      <c r="B872" s="3" t="s">
        <v>5</v>
      </c>
      <c r="C872" s="3">
        <v>1</v>
      </c>
      <c r="D872" s="3">
        <v>1</v>
      </c>
      <c r="E872" s="3">
        <v>1</v>
      </c>
      <c r="F872" s="3">
        <v>0</v>
      </c>
      <c r="G872" s="3">
        <v>0</v>
      </c>
    </row>
    <row r="873" spans="1:7" x14ac:dyDescent="0.25">
      <c r="A873" t="s">
        <v>134</v>
      </c>
      <c r="B873" t="s">
        <v>185</v>
      </c>
      <c r="C873">
        <f>3+1</f>
        <v>4</v>
      </c>
      <c r="D873">
        <f>3+1</f>
        <v>4</v>
      </c>
      <c r="E873">
        <f>3+1</f>
        <v>4</v>
      </c>
      <c r="F873">
        <v>0</v>
      </c>
      <c r="G873">
        <v>0</v>
      </c>
    </row>
    <row r="874" spans="1:7" x14ac:dyDescent="0.25">
      <c r="A874" s="3" t="s">
        <v>134</v>
      </c>
      <c r="B874" s="3" t="s">
        <v>185</v>
      </c>
      <c r="C874" s="3">
        <v>2</v>
      </c>
      <c r="D874" s="3">
        <v>2</v>
      </c>
      <c r="E874" s="3">
        <v>2</v>
      </c>
      <c r="F874" s="3">
        <v>0</v>
      </c>
      <c r="G874" s="3">
        <v>0</v>
      </c>
    </row>
    <row r="875" spans="1:7" x14ac:dyDescent="0.25">
      <c r="A875" t="s">
        <v>134</v>
      </c>
      <c r="B875" t="s">
        <v>186</v>
      </c>
      <c r="C875">
        <f>7+1</f>
        <v>8</v>
      </c>
      <c r="D875">
        <f>7+1</f>
        <v>8</v>
      </c>
      <c r="E875">
        <v>7</v>
      </c>
      <c r="F875">
        <v>1</v>
      </c>
      <c r="G875">
        <v>0</v>
      </c>
    </row>
    <row r="876" spans="1:7" x14ac:dyDescent="0.25">
      <c r="A876" s="3" t="s">
        <v>134</v>
      </c>
      <c r="B876" s="3" t="s">
        <v>186</v>
      </c>
      <c r="C876" s="3">
        <v>4</v>
      </c>
      <c r="D876" s="3">
        <v>3</v>
      </c>
      <c r="E876" s="3">
        <v>3</v>
      </c>
      <c r="F876" s="3">
        <v>0</v>
      </c>
      <c r="G876" s="3">
        <v>0</v>
      </c>
    </row>
    <row r="877" spans="1:7" x14ac:dyDescent="0.25">
      <c r="A877" t="s">
        <v>134</v>
      </c>
      <c r="B877" t="s">
        <v>187</v>
      </c>
      <c r="C877">
        <v>4</v>
      </c>
      <c r="D877">
        <v>4</v>
      </c>
      <c r="E877">
        <v>3</v>
      </c>
      <c r="F877">
        <v>1</v>
      </c>
      <c r="G877">
        <v>0</v>
      </c>
    </row>
    <row r="878" spans="1:7" x14ac:dyDescent="0.25">
      <c r="A878" s="3" t="s">
        <v>134</v>
      </c>
      <c r="B878" s="3" t="s">
        <v>187</v>
      </c>
      <c r="C878" s="3">
        <v>2</v>
      </c>
      <c r="D878" s="3">
        <v>2</v>
      </c>
      <c r="E878" s="3">
        <v>2</v>
      </c>
      <c r="F878" s="3">
        <v>0</v>
      </c>
      <c r="G878" s="3">
        <v>0</v>
      </c>
    </row>
    <row r="879" spans="1:7" x14ac:dyDescent="0.25">
      <c r="A879" t="s">
        <v>134</v>
      </c>
      <c r="B879" t="s">
        <v>6</v>
      </c>
      <c r="C879">
        <v>1</v>
      </c>
      <c r="D879">
        <v>1</v>
      </c>
      <c r="E879">
        <v>1</v>
      </c>
      <c r="F879">
        <v>0</v>
      </c>
      <c r="G879">
        <v>0</v>
      </c>
    </row>
    <row r="880" spans="1:7" x14ac:dyDescent="0.25">
      <c r="A880" t="s">
        <v>134</v>
      </c>
      <c r="B880" t="s">
        <v>8</v>
      </c>
      <c r="C880">
        <v>1</v>
      </c>
      <c r="D880">
        <v>1</v>
      </c>
      <c r="E880">
        <v>1</v>
      </c>
      <c r="F880">
        <v>0</v>
      </c>
      <c r="G880">
        <v>0</v>
      </c>
    </row>
    <row r="881" spans="1:7" x14ac:dyDescent="0.25">
      <c r="A881" t="s">
        <v>134</v>
      </c>
      <c r="B881" t="s">
        <v>10</v>
      </c>
      <c r="C881">
        <v>3</v>
      </c>
      <c r="D881">
        <v>3</v>
      </c>
      <c r="E881">
        <v>3</v>
      </c>
      <c r="F881">
        <v>0</v>
      </c>
      <c r="G881">
        <v>0</v>
      </c>
    </row>
    <row r="882" spans="1:7" x14ac:dyDescent="0.25">
      <c r="A882" t="s">
        <v>121</v>
      </c>
      <c r="B882" t="s">
        <v>2</v>
      </c>
      <c r="C882">
        <v>1</v>
      </c>
      <c r="D882">
        <v>1</v>
      </c>
      <c r="E882">
        <v>0</v>
      </c>
      <c r="F882">
        <v>1</v>
      </c>
      <c r="G882">
        <v>0</v>
      </c>
    </row>
    <row r="883" spans="1:7" x14ac:dyDescent="0.25">
      <c r="A883" s="3" t="s">
        <v>121</v>
      </c>
      <c r="B883" s="3" t="s">
        <v>2</v>
      </c>
      <c r="C883" s="3">
        <v>3</v>
      </c>
      <c r="D883" s="3">
        <v>1</v>
      </c>
      <c r="E883" s="3">
        <v>0</v>
      </c>
      <c r="F883" s="3">
        <v>1</v>
      </c>
      <c r="G883" s="3">
        <v>0</v>
      </c>
    </row>
    <row r="884" spans="1:7" x14ac:dyDescent="0.25">
      <c r="A884" t="s">
        <v>121</v>
      </c>
      <c r="B884" t="s">
        <v>4</v>
      </c>
      <c r="C884">
        <v>7</v>
      </c>
      <c r="D884">
        <v>0</v>
      </c>
      <c r="E884">
        <v>0</v>
      </c>
      <c r="F884">
        <v>0</v>
      </c>
      <c r="G884">
        <v>0</v>
      </c>
    </row>
    <row r="885" spans="1:7" x14ac:dyDescent="0.25">
      <c r="A885" t="s">
        <v>121</v>
      </c>
      <c r="B885" t="s">
        <v>5</v>
      </c>
      <c r="C885">
        <v>13</v>
      </c>
      <c r="D885">
        <v>13</v>
      </c>
      <c r="E885">
        <v>12</v>
      </c>
      <c r="F885">
        <v>1</v>
      </c>
      <c r="G885">
        <v>0</v>
      </c>
    </row>
    <row r="886" spans="1:7" x14ac:dyDescent="0.25">
      <c r="A886" s="3" t="s">
        <v>121</v>
      </c>
      <c r="B886" s="3" t="s">
        <v>5</v>
      </c>
      <c r="C886" s="3">
        <v>2</v>
      </c>
      <c r="D886" s="3">
        <v>2</v>
      </c>
      <c r="E886" s="3">
        <v>2</v>
      </c>
      <c r="F886" s="3">
        <v>0</v>
      </c>
      <c r="G886" s="3">
        <v>0</v>
      </c>
    </row>
    <row r="887" spans="1:7" x14ac:dyDescent="0.25">
      <c r="A887" t="s">
        <v>121</v>
      </c>
      <c r="B887" t="s">
        <v>185</v>
      </c>
      <c r="C887">
        <f>23+10</f>
        <v>33</v>
      </c>
      <c r="D887">
        <f>23+10</f>
        <v>33</v>
      </c>
      <c r="E887">
        <f>11+8</f>
        <v>19</v>
      </c>
      <c r="F887">
        <f>22-13+5</f>
        <v>14</v>
      </c>
      <c r="G887">
        <v>0</v>
      </c>
    </row>
    <row r="888" spans="1:7" x14ac:dyDescent="0.25">
      <c r="A888" s="3" t="s">
        <v>121</v>
      </c>
      <c r="B888" s="3" t="s">
        <v>185</v>
      </c>
      <c r="C888" s="3">
        <v>11</v>
      </c>
      <c r="D888" s="3">
        <v>11</v>
      </c>
      <c r="E888" s="3">
        <v>5</v>
      </c>
      <c r="F888" s="3">
        <v>6</v>
      </c>
      <c r="G888" s="3">
        <v>0</v>
      </c>
    </row>
    <row r="889" spans="1:7" x14ac:dyDescent="0.25">
      <c r="A889" t="s">
        <v>121</v>
      </c>
      <c r="B889" t="s">
        <v>186</v>
      </c>
      <c r="C889">
        <f>46+4</f>
        <v>50</v>
      </c>
      <c r="D889">
        <f>44+3</f>
        <v>47</v>
      </c>
      <c r="E889">
        <f>21+13</f>
        <v>34</v>
      </c>
      <c r="F889">
        <f>26-20+7</f>
        <v>13</v>
      </c>
      <c r="G889">
        <v>0</v>
      </c>
    </row>
    <row r="890" spans="1:7" x14ac:dyDescent="0.25">
      <c r="A890" s="3" t="s">
        <v>121</v>
      </c>
      <c r="B890" s="3" t="s">
        <v>186</v>
      </c>
      <c r="C890" s="3">
        <v>28</v>
      </c>
      <c r="D890" s="3">
        <v>26</v>
      </c>
      <c r="E890" s="3">
        <v>16</v>
      </c>
      <c r="F890" s="3">
        <v>10</v>
      </c>
      <c r="G890" s="3">
        <v>0</v>
      </c>
    </row>
    <row r="891" spans="1:7" x14ac:dyDescent="0.25">
      <c r="A891" t="s">
        <v>121</v>
      </c>
      <c r="B891" t="s">
        <v>187</v>
      </c>
      <c r="C891">
        <v>28</v>
      </c>
      <c r="D891">
        <v>27</v>
      </c>
      <c r="E891">
        <f>10+7</f>
        <v>17</v>
      </c>
      <c r="F891">
        <f>17-9+2</f>
        <v>10</v>
      </c>
      <c r="G891">
        <v>0</v>
      </c>
    </row>
    <row r="892" spans="1:7" x14ac:dyDescent="0.25">
      <c r="A892" s="3" t="s">
        <v>121</v>
      </c>
      <c r="B892" s="3" t="s">
        <v>187</v>
      </c>
      <c r="C892" s="3">
        <v>12</v>
      </c>
      <c r="D892" s="3">
        <v>12</v>
      </c>
      <c r="E892" s="3">
        <v>11</v>
      </c>
      <c r="F892" s="3">
        <v>1</v>
      </c>
      <c r="G892" s="3">
        <v>0</v>
      </c>
    </row>
    <row r="893" spans="1:7" x14ac:dyDescent="0.25">
      <c r="A893" t="s">
        <v>121</v>
      </c>
      <c r="B893" t="s">
        <v>6</v>
      </c>
      <c r="C893">
        <v>34</v>
      </c>
      <c r="D893">
        <v>34</v>
      </c>
      <c r="E893">
        <v>32</v>
      </c>
      <c r="F893">
        <v>2</v>
      </c>
      <c r="G893">
        <v>0</v>
      </c>
    </row>
    <row r="894" spans="1:7" x14ac:dyDescent="0.25">
      <c r="A894" s="3" t="s">
        <v>121</v>
      </c>
      <c r="B894" s="3" t="s">
        <v>6</v>
      </c>
      <c r="C894" s="3">
        <v>13</v>
      </c>
      <c r="D894" s="3">
        <v>10</v>
      </c>
      <c r="E894" s="3">
        <v>10</v>
      </c>
      <c r="F894" s="3">
        <v>0</v>
      </c>
      <c r="G894" s="3">
        <v>0</v>
      </c>
    </row>
    <row r="895" spans="1:7" x14ac:dyDescent="0.25">
      <c r="A895" s="3" t="s">
        <v>121</v>
      </c>
      <c r="B895" s="3" t="s">
        <v>7</v>
      </c>
      <c r="C895" s="3">
        <v>1</v>
      </c>
      <c r="D895" s="3">
        <v>1</v>
      </c>
      <c r="E895" s="3">
        <v>0</v>
      </c>
      <c r="F895" s="3">
        <v>1</v>
      </c>
      <c r="G895" s="3">
        <v>0</v>
      </c>
    </row>
    <row r="896" spans="1:7" x14ac:dyDescent="0.25">
      <c r="A896" t="s">
        <v>121</v>
      </c>
      <c r="B896" t="s">
        <v>8</v>
      </c>
      <c r="C896">
        <v>15</v>
      </c>
      <c r="D896">
        <v>15</v>
      </c>
      <c r="E896">
        <v>12</v>
      </c>
      <c r="F896">
        <v>3</v>
      </c>
      <c r="G896">
        <v>0</v>
      </c>
    </row>
    <row r="897" spans="1:7" x14ac:dyDescent="0.25">
      <c r="A897" s="3" t="s">
        <v>121</v>
      </c>
      <c r="B897" s="3" t="s">
        <v>8</v>
      </c>
      <c r="C897" s="3">
        <v>8</v>
      </c>
      <c r="D897" s="3">
        <v>8</v>
      </c>
      <c r="E897" s="3">
        <v>5</v>
      </c>
      <c r="F897" s="3">
        <v>3</v>
      </c>
      <c r="G897" s="3">
        <v>0</v>
      </c>
    </row>
    <row r="898" spans="1:7" x14ac:dyDescent="0.25">
      <c r="A898" t="s">
        <v>121</v>
      </c>
      <c r="B898" t="s">
        <v>9</v>
      </c>
      <c r="C898">
        <v>13</v>
      </c>
      <c r="D898">
        <v>13</v>
      </c>
      <c r="E898">
        <v>10</v>
      </c>
      <c r="F898">
        <v>3</v>
      </c>
      <c r="G898">
        <v>0</v>
      </c>
    </row>
    <row r="899" spans="1:7" x14ac:dyDescent="0.25">
      <c r="A899" t="s">
        <v>121</v>
      </c>
      <c r="B899" t="s">
        <v>10</v>
      </c>
      <c r="C899">
        <v>32</v>
      </c>
      <c r="D899">
        <v>32</v>
      </c>
      <c r="E899">
        <v>19</v>
      </c>
      <c r="F899">
        <v>13</v>
      </c>
      <c r="G899">
        <v>0</v>
      </c>
    </row>
    <row r="900" spans="1:7" x14ac:dyDescent="0.25">
      <c r="A900" s="3" t="s">
        <v>121</v>
      </c>
      <c r="B900" s="3" t="s">
        <v>10</v>
      </c>
      <c r="C900" s="3">
        <v>21</v>
      </c>
      <c r="D900" s="3">
        <v>21</v>
      </c>
      <c r="E900" s="3">
        <v>16</v>
      </c>
      <c r="F900" s="3">
        <v>5</v>
      </c>
      <c r="G900" s="3">
        <v>0</v>
      </c>
    </row>
    <row r="901" spans="1:7" x14ac:dyDescent="0.25">
      <c r="A901" t="s">
        <v>121</v>
      </c>
      <c r="B901" t="s">
        <v>177</v>
      </c>
      <c r="C901">
        <v>12</v>
      </c>
      <c r="D901">
        <v>11</v>
      </c>
      <c r="E901">
        <v>11</v>
      </c>
      <c r="F901">
        <v>0</v>
      </c>
      <c r="G901">
        <v>1</v>
      </c>
    </row>
    <row r="902" spans="1:7" x14ac:dyDescent="0.25">
      <c r="A902" s="3" t="s">
        <v>121</v>
      </c>
      <c r="B902" s="3" t="s">
        <v>177</v>
      </c>
      <c r="C902" s="3">
        <v>2</v>
      </c>
      <c r="D902" s="3">
        <v>2</v>
      </c>
      <c r="E902" s="3">
        <v>2</v>
      </c>
      <c r="F902" s="3">
        <v>0</v>
      </c>
      <c r="G902" s="3">
        <v>0</v>
      </c>
    </row>
    <row r="903" spans="1:7" x14ac:dyDescent="0.25">
      <c r="A903" t="s">
        <v>80</v>
      </c>
      <c r="B903" t="s">
        <v>2</v>
      </c>
      <c r="C903">
        <v>1</v>
      </c>
      <c r="D903">
        <v>1</v>
      </c>
      <c r="E903">
        <v>1</v>
      </c>
      <c r="F903">
        <v>0</v>
      </c>
      <c r="G903">
        <v>0</v>
      </c>
    </row>
    <row r="904" spans="1:7" x14ac:dyDescent="0.25">
      <c r="A904" t="s">
        <v>80</v>
      </c>
      <c r="B904" t="s">
        <v>4</v>
      </c>
      <c r="C904">
        <v>2</v>
      </c>
      <c r="D904">
        <v>0</v>
      </c>
      <c r="E904">
        <v>0</v>
      </c>
      <c r="F904">
        <v>0</v>
      </c>
      <c r="G904">
        <v>0</v>
      </c>
    </row>
    <row r="905" spans="1:7" x14ac:dyDescent="0.25">
      <c r="A905" s="3" t="s">
        <v>80</v>
      </c>
      <c r="B905" s="3" t="s">
        <v>4</v>
      </c>
      <c r="C905" s="3">
        <v>1</v>
      </c>
      <c r="D905" s="3">
        <v>0</v>
      </c>
      <c r="E905" s="3">
        <v>0</v>
      </c>
      <c r="F905" s="3">
        <v>0</v>
      </c>
      <c r="G905" s="3">
        <v>0</v>
      </c>
    </row>
    <row r="906" spans="1:7" x14ac:dyDescent="0.25">
      <c r="A906" t="s">
        <v>80</v>
      </c>
      <c r="B906" t="s">
        <v>5</v>
      </c>
      <c r="C906">
        <v>8</v>
      </c>
      <c r="D906">
        <v>8</v>
      </c>
      <c r="E906">
        <f>5+2</f>
        <v>7</v>
      </c>
      <c r="F906">
        <f>3-2+0</f>
        <v>1</v>
      </c>
      <c r="G906">
        <v>0</v>
      </c>
    </row>
    <row r="907" spans="1:7" x14ac:dyDescent="0.25">
      <c r="A907" s="3" t="s">
        <v>80</v>
      </c>
      <c r="B907" s="3" t="s">
        <v>5</v>
      </c>
      <c r="C907" s="3">
        <v>9</v>
      </c>
      <c r="D907" s="3">
        <v>9</v>
      </c>
      <c r="E907" s="3">
        <v>8</v>
      </c>
      <c r="F907" s="3">
        <v>1</v>
      </c>
      <c r="G907" s="3">
        <v>0</v>
      </c>
    </row>
    <row r="908" spans="1:7" x14ac:dyDescent="0.25">
      <c r="A908" t="s">
        <v>80</v>
      </c>
      <c r="B908" t="s">
        <v>185</v>
      </c>
      <c r="C908">
        <f>35+3</f>
        <v>38</v>
      </c>
      <c r="D908">
        <f>35+3</f>
        <v>38</v>
      </c>
      <c r="E908">
        <f>29+4</f>
        <v>33</v>
      </c>
      <c r="F908">
        <f>9-6+2</f>
        <v>5</v>
      </c>
      <c r="G908">
        <v>0</v>
      </c>
    </row>
    <row r="909" spans="1:7" x14ac:dyDescent="0.25">
      <c r="A909" s="3" t="s">
        <v>80</v>
      </c>
      <c r="B909" s="3" t="s">
        <v>185</v>
      </c>
      <c r="C909" s="3">
        <v>33</v>
      </c>
      <c r="D909" s="3">
        <v>33</v>
      </c>
      <c r="E909" s="3">
        <v>32</v>
      </c>
      <c r="F909" s="3">
        <v>1</v>
      </c>
      <c r="G909" s="3">
        <v>0</v>
      </c>
    </row>
    <row r="910" spans="1:7" x14ac:dyDescent="0.25">
      <c r="A910" t="s">
        <v>80</v>
      </c>
      <c r="B910" t="s">
        <v>186</v>
      </c>
      <c r="C910">
        <f>32+2</f>
        <v>34</v>
      </c>
      <c r="D910">
        <f>32+2</f>
        <v>34</v>
      </c>
      <c r="E910">
        <f>23+2</f>
        <v>25</v>
      </c>
      <c r="F910">
        <v>9</v>
      </c>
      <c r="G910">
        <v>0</v>
      </c>
    </row>
    <row r="911" spans="1:7" x14ac:dyDescent="0.25">
      <c r="A911" s="3" t="s">
        <v>80</v>
      </c>
      <c r="B911" s="3" t="s">
        <v>186</v>
      </c>
      <c r="C911" s="3">
        <v>50</v>
      </c>
      <c r="D911" s="3">
        <v>50</v>
      </c>
      <c r="E911" s="3">
        <f>40+4</f>
        <v>44</v>
      </c>
      <c r="F911" s="3">
        <f>10-5+1</f>
        <v>6</v>
      </c>
      <c r="G911" s="3">
        <v>0</v>
      </c>
    </row>
    <row r="912" spans="1:7" x14ac:dyDescent="0.25">
      <c r="A912" t="s">
        <v>80</v>
      </c>
      <c r="B912" t="s">
        <v>187</v>
      </c>
      <c r="C912">
        <v>42</v>
      </c>
      <c r="D912">
        <v>42</v>
      </c>
      <c r="E912">
        <v>41</v>
      </c>
      <c r="F912">
        <v>1</v>
      </c>
      <c r="G912">
        <v>0</v>
      </c>
    </row>
    <row r="913" spans="1:7" x14ac:dyDescent="0.25">
      <c r="A913" s="3" t="s">
        <v>80</v>
      </c>
      <c r="B913" s="3" t="s">
        <v>187</v>
      </c>
      <c r="C913" s="3">
        <v>69</v>
      </c>
      <c r="D913" s="3">
        <v>69</v>
      </c>
      <c r="E913" s="3">
        <f>62+1</f>
        <v>63</v>
      </c>
      <c r="F913" s="3">
        <f>7-1+0</f>
        <v>6</v>
      </c>
      <c r="G913" s="3">
        <v>0</v>
      </c>
    </row>
    <row r="914" spans="1:7" x14ac:dyDescent="0.25">
      <c r="A914" t="s">
        <v>80</v>
      </c>
      <c r="B914" t="s">
        <v>6</v>
      </c>
      <c r="C914">
        <v>2</v>
      </c>
      <c r="D914">
        <v>2</v>
      </c>
      <c r="E914">
        <v>2</v>
      </c>
      <c r="F914">
        <v>0</v>
      </c>
      <c r="G914">
        <v>0</v>
      </c>
    </row>
    <row r="915" spans="1:7" x14ac:dyDescent="0.25">
      <c r="A915" s="3" t="s">
        <v>80</v>
      </c>
      <c r="B915" s="3" t="s">
        <v>6</v>
      </c>
      <c r="C915" s="3">
        <v>1</v>
      </c>
      <c r="D915" s="3">
        <v>1</v>
      </c>
      <c r="E915" s="3">
        <v>1</v>
      </c>
      <c r="F915" s="3">
        <v>0</v>
      </c>
      <c r="G915" s="3">
        <v>0</v>
      </c>
    </row>
    <row r="916" spans="1:7" x14ac:dyDescent="0.25">
      <c r="A916" t="s">
        <v>80</v>
      </c>
      <c r="B916" t="s">
        <v>8</v>
      </c>
      <c r="C916">
        <v>1</v>
      </c>
      <c r="D916">
        <v>1</v>
      </c>
      <c r="E916">
        <v>0</v>
      </c>
      <c r="F916">
        <v>1</v>
      </c>
      <c r="G916">
        <v>0</v>
      </c>
    </row>
    <row r="917" spans="1:7" x14ac:dyDescent="0.25">
      <c r="A917" t="s">
        <v>80</v>
      </c>
      <c r="B917" t="s">
        <v>10</v>
      </c>
      <c r="C917">
        <v>75</v>
      </c>
      <c r="D917">
        <v>75</v>
      </c>
      <c r="E917">
        <v>74</v>
      </c>
      <c r="F917">
        <v>1</v>
      </c>
      <c r="G917">
        <v>0</v>
      </c>
    </row>
    <row r="918" spans="1:7" x14ac:dyDescent="0.25">
      <c r="A918" s="3" t="s">
        <v>80</v>
      </c>
      <c r="B918" s="3" t="s">
        <v>10</v>
      </c>
      <c r="C918" s="3">
        <v>82</v>
      </c>
      <c r="D918" s="3">
        <v>82</v>
      </c>
      <c r="E918" s="3">
        <v>80</v>
      </c>
      <c r="F918" s="3">
        <v>2</v>
      </c>
      <c r="G918" s="3">
        <v>0</v>
      </c>
    </row>
    <row r="919" spans="1:7" x14ac:dyDescent="0.25">
      <c r="A919" t="s">
        <v>80</v>
      </c>
      <c r="B919" t="s">
        <v>177</v>
      </c>
      <c r="C919">
        <v>5</v>
      </c>
      <c r="D919">
        <v>5</v>
      </c>
      <c r="E919">
        <v>5</v>
      </c>
      <c r="F919">
        <v>0</v>
      </c>
      <c r="G919">
        <v>0</v>
      </c>
    </row>
    <row r="920" spans="1:7" x14ac:dyDescent="0.25">
      <c r="A920" s="3" t="s">
        <v>80</v>
      </c>
      <c r="B920" s="3" t="s">
        <v>177</v>
      </c>
      <c r="C920" s="3">
        <v>5</v>
      </c>
      <c r="D920" s="3">
        <v>5</v>
      </c>
      <c r="E920" s="3">
        <v>5</v>
      </c>
      <c r="F920" s="3">
        <v>0</v>
      </c>
      <c r="G920" s="3">
        <v>0</v>
      </c>
    </row>
    <row r="921" spans="1:7" x14ac:dyDescent="0.25">
      <c r="A921" s="3" t="s">
        <v>101</v>
      </c>
      <c r="B921" s="3" t="s">
        <v>2</v>
      </c>
      <c r="C921" s="3">
        <v>1</v>
      </c>
      <c r="D921" s="3">
        <v>1</v>
      </c>
      <c r="E921" s="3">
        <v>1</v>
      </c>
      <c r="F921" s="3">
        <v>0</v>
      </c>
      <c r="G921" s="3">
        <v>0</v>
      </c>
    </row>
    <row r="922" spans="1:7" x14ac:dyDescent="0.25">
      <c r="A922" t="s">
        <v>101</v>
      </c>
      <c r="B922" t="s">
        <v>5</v>
      </c>
      <c r="C922">
        <v>3</v>
      </c>
      <c r="D922">
        <v>2</v>
      </c>
      <c r="E922">
        <v>1</v>
      </c>
      <c r="F922">
        <v>1</v>
      </c>
      <c r="G922">
        <v>0</v>
      </c>
    </row>
    <row r="923" spans="1:7" x14ac:dyDescent="0.25">
      <c r="A923" t="s">
        <v>101</v>
      </c>
      <c r="B923" t="s">
        <v>185</v>
      </c>
      <c r="C923">
        <v>15</v>
      </c>
      <c r="D923">
        <v>15</v>
      </c>
      <c r="E923">
        <v>14</v>
      </c>
      <c r="F923">
        <v>1</v>
      </c>
      <c r="G923">
        <v>0</v>
      </c>
    </row>
    <row r="924" spans="1:7" x14ac:dyDescent="0.25">
      <c r="A924" s="3" t="s">
        <v>101</v>
      </c>
      <c r="B924" s="3" t="s">
        <v>185</v>
      </c>
      <c r="C924" s="3">
        <v>14</v>
      </c>
      <c r="D924" s="3">
        <v>14</v>
      </c>
      <c r="E924" s="3">
        <v>13</v>
      </c>
      <c r="F924" s="3">
        <v>1</v>
      </c>
      <c r="G924" s="3">
        <v>0</v>
      </c>
    </row>
    <row r="925" spans="1:7" x14ac:dyDescent="0.25">
      <c r="A925" t="s">
        <v>101</v>
      </c>
      <c r="B925" t="s">
        <v>186</v>
      </c>
      <c r="C925">
        <f>47+1</f>
        <v>48</v>
      </c>
      <c r="D925">
        <f>45+1</f>
        <v>46</v>
      </c>
      <c r="E925">
        <f>39+1</f>
        <v>40</v>
      </c>
      <c r="F925">
        <v>6</v>
      </c>
      <c r="G925">
        <v>0</v>
      </c>
    </row>
    <row r="926" spans="1:7" x14ac:dyDescent="0.25">
      <c r="A926" s="3" t="s">
        <v>101</v>
      </c>
      <c r="B926" s="3" t="s">
        <v>186</v>
      </c>
      <c r="C926" s="3">
        <v>30</v>
      </c>
      <c r="D926" s="3">
        <v>30</v>
      </c>
      <c r="E926" s="3">
        <f>25+2</f>
        <v>27</v>
      </c>
      <c r="F926" s="3">
        <f>5-4+2</f>
        <v>3</v>
      </c>
      <c r="G926" s="3">
        <v>0</v>
      </c>
    </row>
    <row r="927" spans="1:7" x14ac:dyDescent="0.25">
      <c r="A927" t="s">
        <v>101</v>
      </c>
      <c r="B927" t="s">
        <v>187</v>
      </c>
      <c r="C927">
        <v>31</v>
      </c>
      <c r="D927">
        <v>30</v>
      </c>
      <c r="E927">
        <v>27</v>
      </c>
      <c r="F927">
        <v>3</v>
      </c>
      <c r="G927">
        <v>0</v>
      </c>
    </row>
    <row r="928" spans="1:7" x14ac:dyDescent="0.25">
      <c r="A928" s="3" t="s">
        <v>101</v>
      </c>
      <c r="B928" s="3" t="s">
        <v>187</v>
      </c>
      <c r="C928" s="3">
        <v>25</v>
      </c>
      <c r="D928" s="3">
        <v>25</v>
      </c>
      <c r="E928" s="3">
        <f>21+2</f>
        <v>23</v>
      </c>
      <c r="F928" s="3">
        <f>4-2+0</f>
        <v>2</v>
      </c>
      <c r="G928" s="3">
        <v>0</v>
      </c>
    </row>
    <row r="929" spans="1:12" x14ac:dyDescent="0.25">
      <c r="A929" t="s">
        <v>101</v>
      </c>
      <c r="B929" t="s">
        <v>6</v>
      </c>
      <c r="C929">
        <v>1</v>
      </c>
      <c r="D929">
        <v>1</v>
      </c>
      <c r="E929">
        <v>1</v>
      </c>
      <c r="F929">
        <v>0</v>
      </c>
      <c r="G929">
        <v>0</v>
      </c>
    </row>
    <row r="930" spans="1:12" x14ac:dyDescent="0.25">
      <c r="A930" s="3" t="s">
        <v>101</v>
      </c>
      <c r="B930" s="3" t="s">
        <v>6</v>
      </c>
      <c r="C930" s="3">
        <v>5</v>
      </c>
      <c r="D930" s="3">
        <v>5</v>
      </c>
      <c r="E930" s="3">
        <v>5</v>
      </c>
      <c r="F930" s="3">
        <v>0</v>
      </c>
      <c r="G930" s="3">
        <v>0</v>
      </c>
    </row>
    <row r="931" spans="1:12" x14ac:dyDescent="0.25">
      <c r="A931" t="s">
        <v>101</v>
      </c>
      <c r="B931" t="s">
        <v>8</v>
      </c>
      <c r="C931">
        <v>4</v>
      </c>
      <c r="D931">
        <v>4</v>
      </c>
      <c r="E931">
        <v>4</v>
      </c>
      <c r="F931">
        <v>0</v>
      </c>
      <c r="G931">
        <v>0</v>
      </c>
    </row>
    <row r="932" spans="1:12" x14ac:dyDescent="0.25">
      <c r="A932" s="3" t="s">
        <v>101</v>
      </c>
      <c r="B932" s="3" t="s">
        <v>8</v>
      </c>
      <c r="C932" s="3">
        <v>7</v>
      </c>
      <c r="D932" s="3">
        <v>7</v>
      </c>
      <c r="E932" s="3">
        <v>4</v>
      </c>
      <c r="F932" s="3">
        <v>3</v>
      </c>
      <c r="G932" s="3">
        <v>0</v>
      </c>
    </row>
    <row r="933" spans="1:12" x14ac:dyDescent="0.25">
      <c r="A933" t="s">
        <v>101</v>
      </c>
      <c r="B933" t="s">
        <v>9</v>
      </c>
      <c r="C933">
        <v>6</v>
      </c>
      <c r="D933">
        <v>6</v>
      </c>
      <c r="E933">
        <v>6</v>
      </c>
      <c r="F933">
        <v>0</v>
      </c>
      <c r="G933">
        <v>0</v>
      </c>
    </row>
    <row r="934" spans="1:12" x14ac:dyDescent="0.25">
      <c r="A934" s="3" t="s">
        <v>101</v>
      </c>
      <c r="B934" s="3" t="s">
        <v>9</v>
      </c>
      <c r="C934" s="3">
        <v>1</v>
      </c>
      <c r="D934" s="3">
        <v>1</v>
      </c>
      <c r="E934" s="3">
        <v>1</v>
      </c>
      <c r="F934" s="3">
        <v>0</v>
      </c>
      <c r="G934" s="3">
        <v>0</v>
      </c>
    </row>
    <row r="935" spans="1:12" x14ac:dyDescent="0.25">
      <c r="A935" t="s">
        <v>101</v>
      </c>
      <c r="B935" t="s">
        <v>10</v>
      </c>
      <c r="C935">
        <v>25</v>
      </c>
      <c r="D935">
        <v>25</v>
      </c>
      <c r="E935">
        <v>25</v>
      </c>
      <c r="F935">
        <v>0</v>
      </c>
      <c r="G935">
        <v>0</v>
      </c>
    </row>
    <row r="936" spans="1:12" x14ac:dyDescent="0.25">
      <c r="A936" s="3" t="s">
        <v>101</v>
      </c>
      <c r="B936" s="3" t="s">
        <v>10</v>
      </c>
      <c r="C936" s="3">
        <v>25</v>
      </c>
      <c r="D936" s="3">
        <v>25</v>
      </c>
      <c r="E936" s="3">
        <v>23</v>
      </c>
      <c r="F936" s="3">
        <v>2</v>
      </c>
      <c r="G936" s="3">
        <v>0</v>
      </c>
    </row>
    <row r="937" spans="1:12" x14ac:dyDescent="0.25">
      <c r="A937" t="s">
        <v>52</v>
      </c>
      <c r="B937" t="s">
        <v>2</v>
      </c>
      <c r="C937">
        <v>11</v>
      </c>
      <c r="D937">
        <v>7</v>
      </c>
      <c r="E937">
        <v>6</v>
      </c>
      <c r="F937">
        <v>1</v>
      </c>
      <c r="G937">
        <v>1</v>
      </c>
    </row>
    <row r="938" spans="1:12" x14ac:dyDescent="0.25">
      <c r="A938" s="3" t="s">
        <v>52</v>
      </c>
      <c r="B938" s="3" t="s">
        <v>2</v>
      </c>
      <c r="C938" s="3">
        <v>4</v>
      </c>
      <c r="D938" s="3">
        <v>3</v>
      </c>
      <c r="E938" s="3">
        <v>3</v>
      </c>
      <c r="F938" s="3">
        <v>0</v>
      </c>
      <c r="G938" s="3">
        <v>0</v>
      </c>
    </row>
    <row r="939" spans="1:12" x14ac:dyDescent="0.25">
      <c r="A939" t="s">
        <v>52</v>
      </c>
      <c r="B939" t="s">
        <v>5</v>
      </c>
      <c r="C939">
        <v>20</v>
      </c>
      <c r="D939">
        <v>19</v>
      </c>
      <c r="E939">
        <v>19</v>
      </c>
      <c r="F939">
        <v>0</v>
      </c>
      <c r="G939">
        <v>0</v>
      </c>
    </row>
    <row r="940" spans="1:12" x14ac:dyDescent="0.25">
      <c r="A940" s="3" t="s">
        <v>52</v>
      </c>
      <c r="B940" s="3" t="s">
        <v>5</v>
      </c>
      <c r="C940" s="3">
        <v>18</v>
      </c>
      <c r="D940" s="3">
        <v>17</v>
      </c>
      <c r="E940" s="3">
        <v>15</v>
      </c>
      <c r="F940" s="3">
        <v>2</v>
      </c>
      <c r="G940" s="3">
        <v>0</v>
      </c>
      <c r="I940">
        <v>1297</v>
      </c>
      <c r="J940">
        <v>1256</v>
      </c>
      <c r="K940">
        <v>908</v>
      </c>
      <c r="L940">
        <v>2</v>
      </c>
    </row>
    <row r="941" spans="1:12" x14ac:dyDescent="0.25">
      <c r="A941" t="s">
        <v>52</v>
      </c>
      <c r="B941" t="s">
        <v>185</v>
      </c>
      <c r="C941">
        <f>73+5</f>
        <v>78</v>
      </c>
      <c r="D941">
        <f>72+5</f>
        <v>77</v>
      </c>
      <c r="E941">
        <f>48+19</f>
        <v>67</v>
      </c>
      <c r="F941">
        <f>29-20+1</f>
        <v>10</v>
      </c>
      <c r="G941">
        <v>0</v>
      </c>
    </row>
    <row r="942" spans="1:12" x14ac:dyDescent="0.25">
      <c r="A942" s="3" t="s">
        <v>52</v>
      </c>
      <c r="B942" s="3" t="s">
        <v>185</v>
      </c>
      <c r="C942" s="3">
        <v>58</v>
      </c>
      <c r="D942" s="3">
        <v>56</v>
      </c>
      <c r="E942" s="3">
        <v>45</v>
      </c>
      <c r="F942" s="3">
        <v>11</v>
      </c>
      <c r="G942" s="3">
        <v>0</v>
      </c>
    </row>
    <row r="943" spans="1:12" x14ac:dyDescent="0.25">
      <c r="A943" t="s">
        <v>52</v>
      </c>
      <c r="B943" t="s">
        <v>186</v>
      </c>
      <c r="C943">
        <f>102+8</f>
        <v>110</v>
      </c>
      <c r="D943">
        <v>107</v>
      </c>
      <c r="E943">
        <f>83+16</f>
        <v>99</v>
      </c>
      <c r="F943">
        <f>25-20+3</f>
        <v>8</v>
      </c>
      <c r="G943">
        <v>1</v>
      </c>
    </row>
    <row r="944" spans="1:12" x14ac:dyDescent="0.25">
      <c r="A944" s="3" t="s">
        <v>52</v>
      </c>
      <c r="B944" s="3" t="s">
        <v>186</v>
      </c>
      <c r="C944" s="3">
        <v>89</v>
      </c>
      <c r="D944" s="3">
        <v>85</v>
      </c>
      <c r="E944" s="3">
        <v>73</v>
      </c>
      <c r="F944" s="3">
        <v>12</v>
      </c>
      <c r="G944" s="3">
        <v>0</v>
      </c>
    </row>
    <row r="945" spans="1:7" x14ac:dyDescent="0.25">
      <c r="A945" t="s">
        <v>52</v>
      </c>
      <c r="B945" t="s">
        <v>189</v>
      </c>
      <c r="C945">
        <v>1</v>
      </c>
      <c r="D945">
        <v>1</v>
      </c>
      <c r="E945">
        <v>1</v>
      </c>
      <c r="F945">
        <v>0</v>
      </c>
      <c r="G945">
        <v>0</v>
      </c>
    </row>
    <row r="946" spans="1:7" x14ac:dyDescent="0.25">
      <c r="A946" t="s">
        <v>52</v>
      </c>
      <c r="B946" t="s">
        <v>187</v>
      </c>
      <c r="C946">
        <f>163+1</f>
        <v>164</v>
      </c>
      <c r="D946">
        <v>161</v>
      </c>
      <c r="E946">
        <f>125+14</f>
        <v>139</v>
      </c>
      <c r="F946">
        <f>37-23+8</f>
        <v>22</v>
      </c>
      <c r="G946">
        <v>0</v>
      </c>
    </row>
    <row r="947" spans="1:7" x14ac:dyDescent="0.25">
      <c r="A947" s="3" t="s">
        <v>52</v>
      </c>
      <c r="B947" s="3" t="s">
        <v>187</v>
      </c>
      <c r="C947" s="3">
        <v>87</v>
      </c>
      <c r="D947" s="3">
        <v>84</v>
      </c>
      <c r="E947" s="3">
        <v>80</v>
      </c>
      <c r="F947" s="3">
        <v>4</v>
      </c>
      <c r="G947" s="3">
        <v>1</v>
      </c>
    </row>
    <row r="948" spans="1:7" x14ac:dyDescent="0.25">
      <c r="A948" t="s">
        <v>52</v>
      </c>
      <c r="B948" t="s">
        <v>6</v>
      </c>
      <c r="C948">
        <v>63</v>
      </c>
      <c r="D948">
        <v>63</v>
      </c>
      <c r="E948">
        <v>61</v>
      </c>
      <c r="F948">
        <v>2</v>
      </c>
      <c r="G948">
        <v>0</v>
      </c>
    </row>
    <row r="949" spans="1:7" x14ac:dyDescent="0.25">
      <c r="A949" s="3" t="s">
        <v>52</v>
      </c>
      <c r="B949" s="3" t="s">
        <v>6</v>
      </c>
      <c r="C949" s="3">
        <v>14</v>
      </c>
      <c r="D949" s="3">
        <v>14</v>
      </c>
      <c r="E949" s="3">
        <v>14</v>
      </c>
      <c r="F949" s="3">
        <v>0</v>
      </c>
      <c r="G949" s="3">
        <v>0</v>
      </c>
    </row>
    <row r="950" spans="1:7" x14ac:dyDescent="0.25">
      <c r="A950" t="s">
        <v>52</v>
      </c>
      <c r="B950" t="s">
        <v>8</v>
      </c>
      <c r="C950">
        <v>31</v>
      </c>
      <c r="D950">
        <v>27</v>
      </c>
      <c r="E950">
        <v>24</v>
      </c>
      <c r="F950">
        <v>3</v>
      </c>
      <c r="G950">
        <v>0</v>
      </c>
    </row>
    <row r="951" spans="1:7" x14ac:dyDescent="0.25">
      <c r="A951" s="3" t="s">
        <v>52</v>
      </c>
      <c r="B951" s="3" t="s">
        <v>8</v>
      </c>
      <c r="C951" s="3">
        <v>23</v>
      </c>
      <c r="D951" s="3">
        <v>21</v>
      </c>
      <c r="E951" s="3">
        <v>17</v>
      </c>
      <c r="F951" s="3">
        <v>4</v>
      </c>
      <c r="G951" s="3">
        <v>0</v>
      </c>
    </row>
    <row r="952" spans="1:7" x14ac:dyDescent="0.25">
      <c r="A952" t="s">
        <v>52</v>
      </c>
      <c r="B952" t="s">
        <v>9</v>
      </c>
      <c r="C952">
        <v>21</v>
      </c>
      <c r="D952">
        <v>21</v>
      </c>
      <c r="E952">
        <v>21</v>
      </c>
      <c r="F952">
        <v>0</v>
      </c>
      <c r="G952">
        <v>0</v>
      </c>
    </row>
    <row r="953" spans="1:7" x14ac:dyDescent="0.25">
      <c r="A953" t="s">
        <v>52</v>
      </c>
      <c r="B953" t="s">
        <v>10</v>
      </c>
      <c r="C953">
        <v>96</v>
      </c>
      <c r="D953">
        <v>96</v>
      </c>
      <c r="E953">
        <v>79</v>
      </c>
      <c r="F953">
        <v>17</v>
      </c>
      <c r="G953">
        <v>0</v>
      </c>
    </row>
    <row r="954" spans="1:7" x14ac:dyDescent="0.25">
      <c r="A954" s="3" t="s">
        <v>52</v>
      </c>
      <c r="B954" s="3" t="s">
        <v>10</v>
      </c>
      <c r="C954" s="3">
        <v>61</v>
      </c>
      <c r="D954" s="3">
        <v>61</v>
      </c>
      <c r="E954" s="3">
        <v>47</v>
      </c>
      <c r="F954" s="3">
        <v>14</v>
      </c>
      <c r="G954" s="3">
        <v>0</v>
      </c>
    </row>
    <row r="955" spans="1:7" x14ac:dyDescent="0.25">
      <c r="A955" t="s">
        <v>52</v>
      </c>
      <c r="B955" t="s">
        <v>177</v>
      </c>
      <c r="C955">
        <v>10</v>
      </c>
      <c r="D955">
        <v>10</v>
      </c>
      <c r="E955">
        <v>10</v>
      </c>
      <c r="F955">
        <v>0</v>
      </c>
      <c r="G955">
        <v>0</v>
      </c>
    </row>
    <row r="956" spans="1:7" x14ac:dyDescent="0.25">
      <c r="A956" s="3" t="s">
        <v>52</v>
      </c>
      <c r="B956" s="3" t="s">
        <v>177</v>
      </c>
      <c r="C956" s="3">
        <v>5</v>
      </c>
      <c r="D956" s="3">
        <v>5</v>
      </c>
      <c r="E956" s="3">
        <v>2</v>
      </c>
      <c r="F956" s="3">
        <v>3</v>
      </c>
      <c r="G956" s="3">
        <v>0</v>
      </c>
    </row>
    <row r="957" spans="1:7" x14ac:dyDescent="0.25">
      <c r="A957" t="s">
        <v>33</v>
      </c>
      <c r="B957" t="s">
        <v>2</v>
      </c>
      <c r="C957">
        <v>2</v>
      </c>
      <c r="D957">
        <v>2</v>
      </c>
      <c r="E957">
        <v>2</v>
      </c>
      <c r="F957">
        <v>0</v>
      </c>
      <c r="G957">
        <v>0</v>
      </c>
    </row>
    <row r="958" spans="1:7" x14ac:dyDescent="0.25">
      <c r="A958" s="3" t="s">
        <v>33</v>
      </c>
      <c r="B958" s="3" t="s">
        <v>2</v>
      </c>
      <c r="C958" s="3">
        <v>2</v>
      </c>
      <c r="D958" s="3">
        <v>2</v>
      </c>
      <c r="E958" s="3">
        <v>2</v>
      </c>
      <c r="F958" s="3">
        <v>0</v>
      </c>
      <c r="G958" s="3">
        <v>0</v>
      </c>
    </row>
    <row r="959" spans="1:7" x14ac:dyDescent="0.25">
      <c r="A959" t="s">
        <v>33</v>
      </c>
      <c r="B959" t="s">
        <v>97</v>
      </c>
      <c r="C959">
        <v>1</v>
      </c>
      <c r="D959">
        <v>0</v>
      </c>
      <c r="E959">
        <v>0</v>
      </c>
      <c r="F959">
        <v>0</v>
      </c>
      <c r="G959">
        <v>0</v>
      </c>
    </row>
    <row r="960" spans="1:7" x14ac:dyDescent="0.25">
      <c r="A960" t="s">
        <v>33</v>
      </c>
      <c r="B960" t="s">
        <v>4</v>
      </c>
      <c r="C960">
        <v>1</v>
      </c>
      <c r="D960">
        <v>0</v>
      </c>
      <c r="E960">
        <v>0</v>
      </c>
      <c r="F960">
        <v>0</v>
      </c>
      <c r="G960">
        <v>0</v>
      </c>
    </row>
    <row r="961" spans="1:12" x14ac:dyDescent="0.25">
      <c r="A961" t="s">
        <v>33</v>
      </c>
      <c r="B961" t="s">
        <v>5</v>
      </c>
      <c r="C961">
        <v>41</v>
      </c>
      <c r="D961">
        <v>40</v>
      </c>
      <c r="E961">
        <f>27+5</f>
        <v>32</v>
      </c>
      <c r="F961">
        <f>13-8+3</f>
        <v>8</v>
      </c>
      <c r="G961">
        <v>0</v>
      </c>
      <c r="I961">
        <v>728</v>
      </c>
      <c r="J961">
        <v>718</v>
      </c>
      <c r="K961">
        <v>477</v>
      </c>
      <c r="L961">
        <v>2</v>
      </c>
    </row>
    <row r="962" spans="1:12" x14ac:dyDescent="0.25">
      <c r="A962" s="3" t="s">
        <v>33</v>
      </c>
      <c r="B962" s="3" t="s">
        <v>5</v>
      </c>
      <c r="C962" s="3">
        <v>11</v>
      </c>
      <c r="D962" s="3">
        <v>10</v>
      </c>
      <c r="E962" s="3">
        <v>9</v>
      </c>
      <c r="F962" s="3">
        <v>1</v>
      </c>
      <c r="G962" s="3">
        <v>0</v>
      </c>
    </row>
    <row r="963" spans="1:12" x14ac:dyDescent="0.25">
      <c r="A963" t="s">
        <v>33</v>
      </c>
      <c r="B963" t="s">
        <v>185</v>
      </c>
      <c r="C963">
        <f>70+2</f>
        <v>72</v>
      </c>
      <c r="D963">
        <f>70+2</f>
        <v>72</v>
      </c>
      <c r="E963">
        <f>44+15</f>
        <v>59</v>
      </c>
      <c r="F963">
        <f>28-18+3</f>
        <v>13</v>
      </c>
      <c r="G963">
        <v>0</v>
      </c>
      <c r="I963">
        <v>1440</v>
      </c>
      <c r="J963">
        <v>1418</v>
      </c>
      <c r="K963">
        <v>1077</v>
      </c>
      <c r="L963">
        <v>5</v>
      </c>
    </row>
    <row r="964" spans="1:12" x14ac:dyDescent="0.25">
      <c r="A964" s="3" t="s">
        <v>33</v>
      </c>
      <c r="B964" s="3" t="s">
        <v>185</v>
      </c>
      <c r="C964" s="3">
        <v>53</v>
      </c>
      <c r="D964" s="3">
        <v>52</v>
      </c>
      <c r="E964" s="3">
        <v>50</v>
      </c>
      <c r="F964" s="3">
        <v>2</v>
      </c>
      <c r="G964" s="3">
        <v>0</v>
      </c>
    </row>
    <row r="965" spans="1:12" x14ac:dyDescent="0.25">
      <c r="A965" t="s">
        <v>33</v>
      </c>
      <c r="B965" t="s">
        <v>186</v>
      </c>
      <c r="C965">
        <v>62</v>
      </c>
      <c r="D965">
        <v>61</v>
      </c>
      <c r="E965">
        <f>49+9</f>
        <v>58</v>
      </c>
      <c r="F965">
        <f>12-10+1</f>
        <v>3</v>
      </c>
      <c r="G965">
        <v>0</v>
      </c>
    </row>
    <row r="966" spans="1:12" x14ac:dyDescent="0.25">
      <c r="A966" s="3" t="s">
        <v>33</v>
      </c>
      <c r="B966" s="3" t="s">
        <v>186</v>
      </c>
      <c r="C966" s="3">
        <v>82</v>
      </c>
      <c r="D966" s="3">
        <v>79</v>
      </c>
      <c r="E966" s="3">
        <v>76</v>
      </c>
      <c r="F966" s="3">
        <v>3</v>
      </c>
      <c r="G966" s="3">
        <v>1</v>
      </c>
    </row>
    <row r="967" spans="1:12" x14ac:dyDescent="0.25">
      <c r="A967" t="s">
        <v>33</v>
      </c>
      <c r="B967" t="s">
        <v>187</v>
      </c>
      <c r="C967">
        <f>98+4</f>
        <v>102</v>
      </c>
      <c r="D967">
        <f>98+4</f>
        <v>102</v>
      </c>
      <c r="E967">
        <f>66+20</f>
        <v>86</v>
      </c>
      <c r="F967">
        <f>36-24+4</f>
        <v>16</v>
      </c>
      <c r="G967">
        <v>0</v>
      </c>
    </row>
    <row r="968" spans="1:12" x14ac:dyDescent="0.25">
      <c r="A968" s="3" t="s">
        <v>33</v>
      </c>
      <c r="B968" s="3" t="s">
        <v>187</v>
      </c>
      <c r="C968" s="3">
        <v>111</v>
      </c>
      <c r="D968" s="3">
        <v>111</v>
      </c>
      <c r="E968" s="3">
        <v>103</v>
      </c>
      <c r="F968" s="3">
        <v>8</v>
      </c>
      <c r="G968" s="3">
        <v>0</v>
      </c>
    </row>
    <row r="969" spans="1:12" x14ac:dyDescent="0.25">
      <c r="A969" t="s">
        <v>33</v>
      </c>
      <c r="B969" t="s">
        <v>6</v>
      </c>
      <c r="C969">
        <v>6</v>
      </c>
      <c r="D969">
        <v>6</v>
      </c>
      <c r="E969">
        <v>6</v>
      </c>
      <c r="F969">
        <v>0</v>
      </c>
      <c r="G969">
        <v>0</v>
      </c>
    </row>
    <row r="970" spans="1:12" x14ac:dyDescent="0.25">
      <c r="A970" s="3" t="s">
        <v>33</v>
      </c>
      <c r="B970" s="3" t="s">
        <v>6</v>
      </c>
      <c r="C970" s="3">
        <v>11</v>
      </c>
      <c r="D970" s="3">
        <v>11</v>
      </c>
      <c r="E970" s="3">
        <v>11</v>
      </c>
      <c r="F970" s="3">
        <v>0</v>
      </c>
      <c r="G970" s="3">
        <v>0</v>
      </c>
    </row>
    <row r="971" spans="1:12" x14ac:dyDescent="0.25">
      <c r="A971" t="s">
        <v>33</v>
      </c>
      <c r="B971" t="s">
        <v>7</v>
      </c>
      <c r="C971">
        <v>11</v>
      </c>
      <c r="D971">
        <v>11</v>
      </c>
      <c r="E971">
        <v>10</v>
      </c>
      <c r="F971">
        <v>1</v>
      </c>
      <c r="G971">
        <v>0</v>
      </c>
    </row>
    <row r="972" spans="1:12" x14ac:dyDescent="0.25">
      <c r="A972" s="3" t="s">
        <v>33</v>
      </c>
      <c r="B972" s="3" t="s">
        <v>7</v>
      </c>
      <c r="C972" s="3">
        <v>1</v>
      </c>
      <c r="D972" s="3">
        <v>1</v>
      </c>
      <c r="E972" s="3">
        <v>1</v>
      </c>
      <c r="F972" s="3">
        <v>0</v>
      </c>
      <c r="G972" s="3">
        <v>0</v>
      </c>
    </row>
    <row r="973" spans="1:12" x14ac:dyDescent="0.25">
      <c r="A973" t="s">
        <v>33</v>
      </c>
      <c r="B973" t="s">
        <v>8</v>
      </c>
      <c r="C973">
        <v>28</v>
      </c>
      <c r="D973">
        <v>28</v>
      </c>
      <c r="E973">
        <v>24</v>
      </c>
      <c r="F973">
        <v>4</v>
      </c>
      <c r="G973">
        <v>0</v>
      </c>
    </row>
    <row r="974" spans="1:12" x14ac:dyDescent="0.25">
      <c r="A974" s="3" t="s">
        <v>33</v>
      </c>
      <c r="B974" s="3" t="s">
        <v>8</v>
      </c>
      <c r="C974" s="3">
        <v>25</v>
      </c>
      <c r="D974" s="3">
        <v>23</v>
      </c>
      <c r="E974" s="3">
        <v>23</v>
      </c>
      <c r="F974" s="3">
        <v>0</v>
      </c>
      <c r="G974" s="3">
        <v>0</v>
      </c>
    </row>
    <row r="975" spans="1:12" x14ac:dyDescent="0.25">
      <c r="A975" t="s">
        <v>33</v>
      </c>
      <c r="B975" t="s">
        <v>9</v>
      </c>
      <c r="C975">
        <v>16</v>
      </c>
      <c r="D975">
        <v>16</v>
      </c>
      <c r="E975">
        <v>15</v>
      </c>
      <c r="F975">
        <v>1</v>
      </c>
      <c r="G975">
        <v>0</v>
      </c>
    </row>
    <row r="976" spans="1:12" x14ac:dyDescent="0.25">
      <c r="A976" s="3" t="s">
        <v>33</v>
      </c>
      <c r="B976" s="3" t="s">
        <v>9</v>
      </c>
      <c r="C976" s="3">
        <v>7</v>
      </c>
      <c r="D976" s="3">
        <v>7</v>
      </c>
      <c r="E976" s="3">
        <v>6</v>
      </c>
      <c r="F976" s="3">
        <v>1</v>
      </c>
      <c r="G976" s="3">
        <v>0</v>
      </c>
    </row>
    <row r="977" spans="1:7" x14ac:dyDescent="0.25">
      <c r="A977" t="s">
        <v>33</v>
      </c>
      <c r="B977" t="s">
        <v>10</v>
      </c>
      <c r="C977">
        <v>76</v>
      </c>
      <c r="D977">
        <v>76</v>
      </c>
      <c r="E977">
        <v>71</v>
      </c>
      <c r="F977">
        <v>5</v>
      </c>
      <c r="G977">
        <v>0</v>
      </c>
    </row>
    <row r="978" spans="1:7" x14ac:dyDescent="0.25">
      <c r="A978" s="3" t="s">
        <v>33</v>
      </c>
      <c r="B978" s="3" t="s">
        <v>10</v>
      </c>
      <c r="C978" s="3">
        <v>67</v>
      </c>
      <c r="D978" s="3">
        <v>67</v>
      </c>
      <c r="E978" s="3">
        <v>63</v>
      </c>
      <c r="F978" s="3">
        <v>4</v>
      </c>
      <c r="G978" s="3">
        <v>0</v>
      </c>
    </row>
    <row r="979" spans="1:7" x14ac:dyDescent="0.25">
      <c r="A979" t="s">
        <v>33</v>
      </c>
      <c r="B979" t="s">
        <v>177</v>
      </c>
      <c r="C979">
        <v>36</v>
      </c>
      <c r="D979">
        <v>36</v>
      </c>
      <c r="E979">
        <v>24</v>
      </c>
      <c r="F979">
        <v>12</v>
      </c>
      <c r="G979">
        <v>0</v>
      </c>
    </row>
    <row r="980" spans="1:7" x14ac:dyDescent="0.25">
      <c r="A980" s="3" t="s">
        <v>33</v>
      </c>
      <c r="B980" s="3" t="s">
        <v>177</v>
      </c>
      <c r="C980" s="3">
        <v>8</v>
      </c>
      <c r="D980" s="3">
        <v>8</v>
      </c>
      <c r="E980" s="3">
        <v>7</v>
      </c>
      <c r="F980" s="3">
        <v>1</v>
      </c>
      <c r="G980" s="3">
        <v>0</v>
      </c>
    </row>
    <row r="981" spans="1:7" x14ac:dyDescent="0.25">
      <c r="A981" t="s">
        <v>45</v>
      </c>
      <c r="B981" t="s">
        <v>2</v>
      </c>
      <c r="C981">
        <v>1</v>
      </c>
      <c r="D981">
        <v>1</v>
      </c>
      <c r="E981">
        <v>1</v>
      </c>
      <c r="F981">
        <v>0</v>
      </c>
      <c r="G981">
        <v>0</v>
      </c>
    </row>
    <row r="982" spans="1:7" x14ac:dyDescent="0.25">
      <c r="A982" t="s">
        <v>45</v>
      </c>
      <c r="B982" t="s">
        <v>5</v>
      </c>
      <c r="C982">
        <v>5</v>
      </c>
      <c r="D982">
        <v>5</v>
      </c>
      <c r="E982">
        <v>5</v>
      </c>
      <c r="F982">
        <v>0</v>
      </c>
      <c r="G982">
        <v>0</v>
      </c>
    </row>
    <row r="983" spans="1:7" x14ac:dyDescent="0.25">
      <c r="A983" s="3" t="s">
        <v>45</v>
      </c>
      <c r="B983" s="3" t="s">
        <v>5</v>
      </c>
      <c r="C983" s="3">
        <v>3</v>
      </c>
      <c r="D983" s="3">
        <v>3</v>
      </c>
      <c r="E983" s="3">
        <v>3</v>
      </c>
      <c r="F983" s="3">
        <v>0</v>
      </c>
      <c r="G983" s="3">
        <v>0</v>
      </c>
    </row>
    <row r="984" spans="1:7" x14ac:dyDescent="0.25">
      <c r="A984" t="s">
        <v>45</v>
      </c>
      <c r="B984" t="s">
        <v>185</v>
      </c>
      <c r="C984">
        <v>11</v>
      </c>
      <c r="D984">
        <v>11</v>
      </c>
      <c r="E984">
        <v>11</v>
      </c>
      <c r="F984">
        <v>0</v>
      </c>
      <c r="G984">
        <v>0</v>
      </c>
    </row>
    <row r="985" spans="1:7" x14ac:dyDescent="0.25">
      <c r="A985" s="3" t="s">
        <v>45</v>
      </c>
      <c r="B985" s="3" t="s">
        <v>185</v>
      </c>
      <c r="C985" s="3">
        <v>5</v>
      </c>
      <c r="D985" s="3">
        <v>5</v>
      </c>
      <c r="E985" s="3">
        <v>5</v>
      </c>
      <c r="F985" s="3">
        <v>0</v>
      </c>
      <c r="G985" s="3">
        <v>0</v>
      </c>
    </row>
    <row r="986" spans="1:7" x14ac:dyDescent="0.25">
      <c r="A986" t="s">
        <v>45</v>
      </c>
      <c r="B986" t="s">
        <v>186</v>
      </c>
      <c r="C986">
        <v>16</v>
      </c>
      <c r="D986">
        <v>16</v>
      </c>
      <c r="E986">
        <v>14</v>
      </c>
      <c r="F986">
        <v>2</v>
      </c>
      <c r="G986">
        <v>0</v>
      </c>
    </row>
    <row r="987" spans="1:7" x14ac:dyDescent="0.25">
      <c r="A987" s="3" t="s">
        <v>45</v>
      </c>
      <c r="B987" s="3" t="s">
        <v>186</v>
      </c>
      <c r="C987" s="3">
        <v>9</v>
      </c>
      <c r="D987" s="3">
        <v>9</v>
      </c>
      <c r="E987" s="3">
        <v>8</v>
      </c>
      <c r="F987" s="3">
        <v>1</v>
      </c>
      <c r="G987" s="3">
        <v>0</v>
      </c>
    </row>
    <row r="988" spans="1:7" x14ac:dyDescent="0.25">
      <c r="A988" t="s">
        <v>45</v>
      </c>
      <c r="B988" t="s">
        <v>187</v>
      </c>
      <c r="C988">
        <v>27</v>
      </c>
      <c r="D988">
        <v>27</v>
      </c>
      <c r="E988">
        <v>27</v>
      </c>
      <c r="F988">
        <v>0</v>
      </c>
      <c r="G988">
        <v>0</v>
      </c>
    </row>
    <row r="989" spans="1:7" x14ac:dyDescent="0.25">
      <c r="A989" s="3" t="s">
        <v>45</v>
      </c>
      <c r="B989" s="3" t="s">
        <v>187</v>
      </c>
      <c r="C989" s="3">
        <v>10</v>
      </c>
      <c r="D989" s="3">
        <v>10</v>
      </c>
      <c r="E989" s="3">
        <v>10</v>
      </c>
      <c r="F989" s="3">
        <v>0</v>
      </c>
      <c r="G989" s="3">
        <v>0</v>
      </c>
    </row>
    <row r="990" spans="1:7" x14ac:dyDescent="0.25">
      <c r="A990" t="s">
        <v>45</v>
      </c>
      <c r="B990" t="s">
        <v>6</v>
      </c>
      <c r="C990">
        <v>11</v>
      </c>
      <c r="D990">
        <v>11</v>
      </c>
      <c r="E990">
        <v>11</v>
      </c>
      <c r="F990">
        <v>0</v>
      </c>
      <c r="G990">
        <v>0</v>
      </c>
    </row>
    <row r="991" spans="1:7" x14ac:dyDescent="0.25">
      <c r="A991" s="3" t="s">
        <v>45</v>
      </c>
      <c r="B991" s="3" t="s">
        <v>6</v>
      </c>
      <c r="C991" s="3">
        <v>2</v>
      </c>
      <c r="D991" s="3">
        <v>2</v>
      </c>
      <c r="E991" s="3">
        <v>2</v>
      </c>
      <c r="F991" s="3">
        <v>0</v>
      </c>
      <c r="G991" s="3">
        <v>0</v>
      </c>
    </row>
    <row r="992" spans="1:7" x14ac:dyDescent="0.25">
      <c r="A992" t="s">
        <v>45</v>
      </c>
      <c r="B992" t="s">
        <v>8</v>
      </c>
      <c r="C992">
        <v>5</v>
      </c>
      <c r="D992">
        <v>5</v>
      </c>
      <c r="E992">
        <v>5</v>
      </c>
      <c r="F992">
        <v>0</v>
      </c>
      <c r="G992">
        <v>0</v>
      </c>
    </row>
    <row r="993" spans="1:7" x14ac:dyDescent="0.25">
      <c r="A993" s="3" t="s">
        <v>45</v>
      </c>
      <c r="B993" s="3" t="s">
        <v>8</v>
      </c>
      <c r="C993" s="3">
        <v>4</v>
      </c>
      <c r="D993" s="3">
        <v>4</v>
      </c>
      <c r="E993" s="3">
        <v>4</v>
      </c>
      <c r="F993" s="3">
        <v>0</v>
      </c>
      <c r="G993" s="3">
        <v>0</v>
      </c>
    </row>
    <row r="994" spans="1:7" x14ac:dyDescent="0.25">
      <c r="A994" t="s">
        <v>45</v>
      </c>
      <c r="B994" t="s">
        <v>9</v>
      </c>
      <c r="C994">
        <v>1</v>
      </c>
      <c r="D994">
        <v>1</v>
      </c>
      <c r="E994">
        <v>1</v>
      </c>
      <c r="F994">
        <v>0</v>
      </c>
      <c r="G994">
        <v>0</v>
      </c>
    </row>
    <row r="995" spans="1:7" x14ac:dyDescent="0.25">
      <c r="A995" s="3" t="s">
        <v>45</v>
      </c>
      <c r="B995" s="3" t="s">
        <v>9</v>
      </c>
      <c r="C995" s="3">
        <v>1</v>
      </c>
      <c r="D995" s="3">
        <v>1</v>
      </c>
      <c r="E995" s="3">
        <v>1</v>
      </c>
      <c r="F995" s="3">
        <v>0</v>
      </c>
      <c r="G995" s="3">
        <v>0</v>
      </c>
    </row>
    <row r="996" spans="1:7" x14ac:dyDescent="0.25">
      <c r="A996" t="s">
        <v>45</v>
      </c>
      <c r="B996" t="s">
        <v>10</v>
      </c>
      <c r="C996">
        <v>27</v>
      </c>
      <c r="D996">
        <v>26</v>
      </c>
      <c r="E996">
        <v>26</v>
      </c>
      <c r="F996">
        <v>0</v>
      </c>
      <c r="G996">
        <v>1</v>
      </c>
    </row>
    <row r="997" spans="1:7" x14ac:dyDescent="0.25">
      <c r="A997" s="3" t="s">
        <v>45</v>
      </c>
      <c r="B997" s="3" t="s">
        <v>10</v>
      </c>
      <c r="C997" s="3">
        <v>13</v>
      </c>
      <c r="D997" s="3">
        <v>13</v>
      </c>
      <c r="E997" s="3">
        <v>11</v>
      </c>
      <c r="F997" s="3">
        <v>2</v>
      </c>
      <c r="G997" s="3">
        <v>0</v>
      </c>
    </row>
    <row r="998" spans="1:7" x14ac:dyDescent="0.25">
      <c r="A998" t="s">
        <v>45</v>
      </c>
      <c r="B998" t="s">
        <v>177</v>
      </c>
      <c r="C998">
        <v>5</v>
      </c>
      <c r="D998">
        <v>5</v>
      </c>
      <c r="E998">
        <v>5</v>
      </c>
      <c r="F998">
        <v>0</v>
      </c>
      <c r="G998">
        <v>0</v>
      </c>
    </row>
    <row r="999" spans="1:7" x14ac:dyDescent="0.25">
      <c r="A999" s="3" t="s">
        <v>45</v>
      </c>
      <c r="B999" s="3" t="s">
        <v>177</v>
      </c>
      <c r="C999" s="3">
        <v>3</v>
      </c>
      <c r="D999" s="3">
        <v>3</v>
      </c>
      <c r="E999" s="3">
        <v>3</v>
      </c>
      <c r="F999" s="3">
        <v>0</v>
      </c>
      <c r="G999" s="3">
        <v>0</v>
      </c>
    </row>
    <row r="1000" spans="1:7" x14ac:dyDescent="0.25">
      <c r="A1000" t="s">
        <v>143</v>
      </c>
      <c r="B1000" t="s">
        <v>2</v>
      </c>
      <c r="C1000">
        <v>7</v>
      </c>
      <c r="D1000">
        <v>3</v>
      </c>
      <c r="E1000">
        <v>3</v>
      </c>
      <c r="F1000">
        <v>0</v>
      </c>
      <c r="G1000">
        <v>0</v>
      </c>
    </row>
    <row r="1001" spans="1:7" x14ac:dyDescent="0.25">
      <c r="A1001" t="s">
        <v>143</v>
      </c>
      <c r="B1001" t="s">
        <v>5</v>
      </c>
      <c r="C1001">
        <v>7</v>
      </c>
      <c r="D1001">
        <v>7</v>
      </c>
      <c r="E1001">
        <v>4</v>
      </c>
      <c r="F1001">
        <v>3</v>
      </c>
      <c r="G1001">
        <v>0</v>
      </c>
    </row>
    <row r="1002" spans="1:7" x14ac:dyDescent="0.25">
      <c r="A1002" s="3" t="s">
        <v>143</v>
      </c>
      <c r="B1002" s="3" t="s">
        <v>5</v>
      </c>
      <c r="C1002" s="3">
        <v>4</v>
      </c>
      <c r="D1002" s="3">
        <v>4</v>
      </c>
      <c r="E1002" s="3">
        <v>3</v>
      </c>
      <c r="F1002" s="3">
        <v>1</v>
      </c>
      <c r="G1002" s="3">
        <v>0</v>
      </c>
    </row>
    <row r="1003" spans="1:7" x14ac:dyDescent="0.25">
      <c r="A1003" t="s">
        <v>143</v>
      </c>
      <c r="B1003" t="s">
        <v>185</v>
      </c>
      <c r="C1003">
        <f>19+2</f>
        <v>21</v>
      </c>
      <c r="D1003">
        <f>19+2</f>
        <v>21</v>
      </c>
      <c r="E1003">
        <f>11+3</f>
        <v>14</v>
      </c>
      <c r="F1003">
        <f>10-7+4</f>
        <v>7</v>
      </c>
      <c r="G1003">
        <v>0</v>
      </c>
    </row>
    <row r="1004" spans="1:7" x14ac:dyDescent="0.25">
      <c r="A1004" s="3" t="s">
        <v>143</v>
      </c>
      <c r="B1004" s="3" t="s">
        <v>185</v>
      </c>
      <c r="C1004" s="3">
        <v>7</v>
      </c>
      <c r="D1004" s="3">
        <v>7</v>
      </c>
      <c r="E1004" s="3">
        <v>6</v>
      </c>
      <c r="F1004" s="3">
        <v>1</v>
      </c>
      <c r="G1004" s="3">
        <v>0</v>
      </c>
    </row>
    <row r="1005" spans="1:7" x14ac:dyDescent="0.25">
      <c r="A1005" t="s">
        <v>143</v>
      </c>
      <c r="B1005" t="s">
        <v>186</v>
      </c>
      <c r="C1005">
        <f>34+2</f>
        <v>36</v>
      </c>
      <c r="D1005">
        <v>32</v>
      </c>
      <c r="E1005">
        <f>18+12</f>
        <v>30</v>
      </c>
      <c r="F1005">
        <f>15-16+3</f>
        <v>2</v>
      </c>
      <c r="G1005">
        <v>0</v>
      </c>
    </row>
    <row r="1006" spans="1:7" x14ac:dyDescent="0.25">
      <c r="A1006" s="3" t="s">
        <v>143</v>
      </c>
      <c r="B1006" s="3" t="s">
        <v>186</v>
      </c>
      <c r="C1006" s="3">
        <v>29</v>
      </c>
      <c r="D1006" s="3">
        <v>29</v>
      </c>
      <c r="E1006" s="3">
        <v>15</v>
      </c>
      <c r="F1006" s="3">
        <v>14</v>
      </c>
      <c r="G1006" s="3">
        <v>0</v>
      </c>
    </row>
    <row r="1007" spans="1:7" x14ac:dyDescent="0.25">
      <c r="A1007" t="s">
        <v>143</v>
      </c>
      <c r="B1007" t="s">
        <v>189</v>
      </c>
      <c r="C1007">
        <v>3</v>
      </c>
      <c r="D1007">
        <v>3</v>
      </c>
      <c r="E1007">
        <v>1</v>
      </c>
      <c r="F1007">
        <v>2</v>
      </c>
      <c r="G1007">
        <v>0</v>
      </c>
    </row>
    <row r="1008" spans="1:7" x14ac:dyDescent="0.25">
      <c r="A1008" s="3" t="s">
        <v>143</v>
      </c>
      <c r="B1008" s="3" t="s">
        <v>189</v>
      </c>
      <c r="C1008" s="3">
        <v>3</v>
      </c>
      <c r="D1008" s="3">
        <v>3</v>
      </c>
      <c r="E1008" s="3">
        <f>1+2</f>
        <v>3</v>
      </c>
      <c r="F1008" s="3">
        <f>2-3+1</f>
        <v>0</v>
      </c>
      <c r="G1008" s="3">
        <v>0</v>
      </c>
    </row>
    <row r="1009" spans="1:7" x14ac:dyDescent="0.25">
      <c r="A1009" t="s">
        <v>143</v>
      </c>
      <c r="B1009" t="s">
        <v>187</v>
      </c>
      <c r="C1009">
        <v>19</v>
      </c>
      <c r="D1009">
        <v>19</v>
      </c>
      <c r="E1009">
        <f>13+3</f>
        <v>16</v>
      </c>
      <c r="F1009">
        <f>6-3+0</f>
        <v>3</v>
      </c>
      <c r="G1009">
        <v>0</v>
      </c>
    </row>
    <row r="1010" spans="1:7" x14ac:dyDescent="0.25">
      <c r="A1010" s="3" t="s">
        <v>143</v>
      </c>
      <c r="B1010" s="3" t="s">
        <v>187</v>
      </c>
      <c r="C1010" s="3">
        <v>8</v>
      </c>
      <c r="D1010" s="3">
        <v>8</v>
      </c>
      <c r="E1010" s="3">
        <v>7</v>
      </c>
      <c r="F1010" s="3">
        <v>1</v>
      </c>
      <c r="G1010" s="3">
        <v>0</v>
      </c>
    </row>
    <row r="1011" spans="1:7" x14ac:dyDescent="0.25">
      <c r="A1011" t="s">
        <v>143</v>
      </c>
      <c r="B1011" t="s">
        <v>6</v>
      </c>
      <c r="C1011">
        <v>3</v>
      </c>
      <c r="D1011">
        <v>3</v>
      </c>
      <c r="E1011">
        <v>3</v>
      </c>
      <c r="F1011">
        <v>0</v>
      </c>
      <c r="G1011">
        <v>0</v>
      </c>
    </row>
    <row r="1012" spans="1:7" x14ac:dyDescent="0.25">
      <c r="A1012" s="3" t="s">
        <v>143</v>
      </c>
      <c r="B1012" s="3" t="s">
        <v>6</v>
      </c>
      <c r="C1012" s="3">
        <v>4</v>
      </c>
      <c r="D1012" s="3">
        <v>4</v>
      </c>
      <c r="E1012" s="3">
        <v>4</v>
      </c>
      <c r="F1012" s="3">
        <v>0</v>
      </c>
      <c r="G1012" s="3">
        <v>0</v>
      </c>
    </row>
    <row r="1013" spans="1:7" x14ac:dyDescent="0.25">
      <c r="A1013" t="s">
        <v>143</v>
      </c>
      <c r="B1013" t="s">
        <v>8</v>
      </c>
      <c r="C1013">
        <v>3</v>
      </c>
      <c r="D1013">
        <v>3</v>
      </c>
      <c r="E1013">
        <v>3</v>
      </c>
      <c r="F1013">
        <v>0</v>
      </c>
      <c r="G1013">
        <v>0</v>
      </c>
    </row>
    <row r="1014" spans="1:7" x14ac:dyDescent="0.25">
      <c r="A1014" s="3" t="s">
        <v>143</v>
      </c>
      <c r="B1014" s="3" t="s">
        <v>8</v>
      </c>
      <c r="C1014" s="3">
        <v>3</v>
      </c>
      <c r="D1014" s="3">
        <v>3</v>
      </c>
      <c r="E1014" s="3">
        <v>2</v>
      </c>
      <c r="F1014" s="3">
        <v>1</v>
      </c>
      <c r="G1014" s="3">
        <v>0</v>
      </c>
    </row>
    <row r="1015" spans="1:7" x14ac:dyDescent="0.25">
      <c r="A1015" t="s">
        <v>143</v>
      </c>
      <c r="B1015" t="s">
        <v>9</v>
      </c>
      <c r="C1015">
        <v>2</v>
      </c>
      <c r="D1015">
        <v>2</v>
      </c>
      <c r="E1015">
        <v>2</v>
      </c>
      <c r="F1015">
        <v>0</v>
      </c>
      <c r="G1015">
        <v>0</v>
      </c>
    </row>
    <row r="1016" spans="1:7" x14ac:dyDescent="0.25">
      <c r="A1016" t="s">
        <v>143</v>
      </c>
      <c r="B1016" t="s">
        <v>10</v>
      </c>
      <c r="C1016">
        <v>19</v>
      </c>
      <c r="D1016">
        <v>19</v>
      </c>
      <c r="E1016">
        <v>14</v>
      </c>
      <c r="F1016">
        <v>5</v>
      </c>
      <c r="G1016">
        <v>0</v>
      </c>
    </row>
    <row r="1017" spans="1:7" x14ac:dyDescent="0.25">
      <c r="A1017" s="3" t="s">
        <v>143</v>
      </c>
      <c r="B1017" s="3" t="s">
        <v>10</v>
      </c>
      <c r="C1017" s="3">
        <v>9</v>
      </c>
      <c r="D1017" s="3">
        <v>9</v>
      </c>
      <c r="E1017" s="3">
        <v>9</v>
      </c>
      <c r="F1017" s="3">
        <v>0</v>
      </c>
      <c r="G1017" s="3">
        <v>0</v>
      </c>
    </row>
    <row r="1018" spans="1:7" x14ac:dyDescent="0.25">
      <c r="A1018" t="s">
        <v>143</v>
      </c>
      <c r="B1018" t="s">
        <v>177</v>
      </c>
      <c r="C1018">
        <v>3</v>
      </c>
      <c r="D1018">
        <v>3</v>
      </c>
      <c r="E1018">
        <v>3</v>
      </c>
      <c r="F1018">
        <v>0</v>
      </c>
      <c r="G1018">
        <v>0</v>
      </c>
    </row>
    <row r="1019" spans="1:7" x14ac:dyDescent="0.25">
      <c r="A1019" s="3" t="s">
        <v>143</v>
      </c>
      <c r="B1019" s="3" t="s">
        <v>177</v>
      </c>
      <c r="C1019" s="3">
        <v>3</v>
      </c>
      <c r="D1019" s="3">
        <v>3</v>
      </c>
      <c r="E1019" s="3">
        <v>3</v>
      </c>
      <c r="F1019" s="3">
        <v>0</v>
      </c>
      <c r="G1019" s="3">
        <v>0</v>
      </c>
    </row>
    <row r="1020" spans="1:7" x14ac:dyDescent="0.25">
      <c r="A1020" t="s">
        <v>46</v>
      </c>
      <c r="B1020" t="s">
        <v>1</v>
      </c>
      <c r="C1020">
        <v>2</v>
      </c>
      <c r="D1020">
        <v>2</v>
      </c>
      <c r="E1020">
        <v>2</v>
      </c>
      <c r="F1020">
        <v>0</v>
      </c>
      <c r="G1020">
        <v>0</v>
      </c>
    </row>
    <row r="1021" spans="1:7" x14ac:dyDescent="0.25">
      <c r="A1021" t="s">
        <v>46</v>
      </c>
      <c r="B1021" t="s">
        <v>2</v>
      </c>
      <c r="C1021">
        <v>2</v>
      </c>
      <c r="D1021">
        <v>2</v>
      </c>
      <c r="E1021">
        <v>2</v>
      </c>
      <c r="F1021">
        <v>0</v>
      </c>
      <c r="G1021">
        <v>0</v>
      </c>
    </row>
    <row r="1022" spans="1:7" x14ac:dyDescent="0.25">
      <c r="A1022" s="3" t="s">
        <v>46</v>
      </c>
      <c r="B1022" s="3" t="s">
        <v>2</v>
      </c>
      <c r="C1022" s="3">
        <v>9</v>
      </c>
      <c r="D1022" s="3">
        <v>7</v>
      </c>
      <c r="E1022" s="3">
        <v>6</v>
      </c>
      <c r="F1022" s="3">
        <v>1</v>
      </c>
      <c r="G1022" s="3">
        <v>0</v>
      </c>
    </row>
    <row r="1023" spans="1:7" x14ac:dyDescent="0.25">
      <c r="A1023" t="s">
        <v>46</v>
      </c>
      <c r="B1023" t="s">
        <v>4</v>
      </c>
      <c r="C1023">
        <v>7</v>
      </c>
      <c r="D1023">
        <v>0</v>
      </c>
      <c r="E1023">
        <v>0</v>
      </c>
      <c r="F1023">
        <v>0</v>
      </c>
      <c r="G1023">
        <v>0</v>
      </c>
    </row>
    <row r="1024" spans="1:7" x14ac:dyDescent="0.25">
      <c r="A1024" t="s">
        <v>46</v>
      </c>
      <c r="B1024" t="s">
        <v>5</v>
      </c>
      <c r="C1024">
        <v>17</v>
      </c>
      <c r="D1024">
        <v>17</v>
      </c>
      <c r="E1024">
        <v>15</v>
      </c>
      <c r="F1024">
        <v>2</v>
      </c>
      <c r="G1024">
        <v>0</v>
      </c>
    </row>
    <row r="1025" spans="1:7" x14ac:dyDescent="0.25">
      <c r="A1025" s="3" t="s">
        <v>46</v>
      </c>
      <c r="B1025" s="3" t="s">
        <v>5</v>
      </c>
      <c r="C1025" s="3">
        <v>26</v>
      </c>
      <c r="D1025" s="3">
        <v>23</v>
      </c>
      <c r="E1025" s="3">
        <f>15+1</f>
        <v>16</v>
      </c>
      <c r="F1025" s="3">
        <f>8-1+0</f>
        <v>7</v>
      </c>
      <c r="G1025" s="3">
        <v>0</v>
      </c>
    </row>
    <row r="1026" spans="1:7" x14ac:dyDescent="0.25">
      <c r="A1026" t="s">
        <v>46</v>
      </c>
      <c r="B1026" t="s">
        <v>185</v>
      </c>
      <c r="C1026">
        <f>33+4</f>
        <v>37</v>
      </c>
      <c r="D1026">
        <f>33+4</f>
        <v>37</v>
      </c>
      <c r="E1026">
        <f>25+5</f>
        <v>30</v>
      </c>
      <c r="F1026">
        <f>12-5+0</f>
        <v>7</v>
      </c>
      <c r="G1026">
        <v>0</v>
      </c>
    </row>
    <row r="1027" spans="1:7" x14ac:dyDescent="0.25">
      <c r="A1027" s="3" t="s">
        <v>46</v>
      </c>
      <c r="B1027" s="3" t="s">
        <v>185</v>
      </c>
      <c r="C1027" s="3">
        <v>48</v>
      </c>
      <c r="D1027" s="3">
        <v>46</v>
      </c>
      <c r="E1027" s="3">
        <v>44</v>
      </c>
      <c r="F1027" s="3">
        <v>2</v>
      </c>
      <c r="G1027" s="3">
        <v>0</v>
      </c>
    </row>
    <row r="1028" spans="1:7" x14ac:dyDescent="0.25">
      <c r="A1028" t="s">
        <v>46</v>
      </c>
      <c r="B1028" t="s">
        <v>186</v>
      </c>
      <c r="C1028">
        <f>82+6</f>
        <v>88</v>
      </c>
      <c r="D1028">
        <f>82+5</f>
        <v>87</v>
      </c>
      <c r="E1028">
        <f>45+12</f>
        <v>57</v>
      </c>
      <c r="F1028">
        <f>42-26+14</f>
        <v>30</v>
      </c>
      <c r="G1028">
        <v>0</v>
      </c>
    </row>
    <row r="1029" spans="1:7" x14ac:dyDescent="0.25">
      <c r="A1029" s="3" t="s">
        <v>46</v>
      </c>
      <c r="B1029" s="3" t="s">
        <v>186</v>
      </c>
      <c r="C1029" s="3">
        <v>77</v>
      </c>
      <c r="D1029" s="3">
        <v>73</v>
      </c>
      <c r="E1029" s="3">
        <v>67</v>
      </c>
      <c r="F1029" s="3">
        <v>6</v>
      </c>
      <c r="G1029" s="3">
        <v>0</v>
      </c>
    </row>
    <row r="1030" spans="1:7" x14ac:dyDescent="0.25">
      <c r="A1030" s="3" t="s">
        <v>46</v>
      </c>
      <c r="B1030" s="3" t="s">
        <v>189</v>
      </c>
      <c r="C1030" s="3">
        <v>4</v>
      </c>
      <c r="D1030" s="3">
        <v>4</v>
      </c>
      <c r="E1030" s="3">
        <v>4</v>
      </c>
      <c r="F1030" s="3">
        <v>0</v>
      </c>
      <c r="G1030" s="3">
        <v>0</v>
      </c>
    </row>
    <row r="1031" spans="1:7" x14ac:dyDescent="0.25">
      <c r="A1031" t="s">
        <v>46</v>
      </c>
      <c r="B1031" t="s">
        <v>187</v>
      </c>
      <c r="C1031">
        <f>78+8</f>
        <v>86</v>
      </c>
      <c r="D1031">
        <f>78+8</f>
        <v>86</v>
      </c>
      <c r="E1031">
        <f>64+16</f>
        <v>80</v>
      </c>
      <c r="F1031">
        <f>22-16+0</f>
        <v>6</v>
      </c>
      <c r="G1031">
        <v>0</v>
      </c>
    </row>
    <row r="1032" spans="1:7" x14ac:dyDescent="0.25">
      <c r="A1032" s="3" t="s">
        <v>46</v>
      </c>
      <c r="B1032" s="3" t="s">
        <v>187</v>
      </c>
      <c r="C1032" s="3">
        <v>78</v>
      </c>
      <c r="D1032" s="3">
        <v>77</v>
      </c>
      <c r="E1032" s="3">
        <v>69</v>
      </c>
      <c r="F1032" s="3">
        <v>8</v>
      </c>
      <c r="G1032" s="3">
        <v>0</v>
      </c>
    </row>
    <row r="1033" spans="1:7" x14ac:dyDescent="0.25">
      <c r="A1033" t="s">
        <v>46</v>
      </c>
      <c r="B1033" t="s">
        <v>6</v>
      </c>
      <c r="C1033">
        <v>20</v>
      </c>
      <c r="D1033">
        <v>20</v>
      </c>
      <c r="E1033">
        <v>20</v>
      </c>
      <c r="F1033">
        <v>0</v>
      </c>
      <c r="G1033">
        <v>0</v>
      </c>
    </row>
    <row r="1034" spans="1:7" x14ac:dyDescent="0.25">
      <c r="A1034" s="3" t="s">
        <v>46</v>
      </c>
      <c r="B1034" s="3" t="s">
        <v>6</v>
      </c>
      <c r="C1034" s="3">
        <v>10</v>
      </c>
      <c r="D1034" s="3">
        <v>10</v>
      </c>
      <c r="E1034" s="3">
        <v>10</v>
      </c>
      <c r="F1034" s="3">
        <v>0</v>
      </c>
      <c r="G1034" s="3">
        <v>0</v>
      </c>
    </row>
    <row r="1035" spans="1:7" x14ac:dyDescent="0.25">
      <c r="A1035" s="3" t="s">
        <v>46</v>
      </c>
      <c r="B1035" s="3" t="s">
        <v>7</v>
      </c>
      <c r="C1035" s="3">
        <v>1</v>
      </c>
      <c r="D1035" s="3">
        <v>0</v>
      </c>
      <c r="E1035" s="3">
        <v>0</v>
      </c>
      <c r="F1035" s="3">
        <v>0</v>
      </c>
      <c r="G1035" s="3">
        <v>0</v>
      </c>
    </row>
    <row r="1036" spans="1:7" x14ac:dyDescent="0.25">
      <c r="A1036" t="s">
        <v>46</v>
      </c>
      <c r="B1036" t="s">
        <v>8</v>
      </c>
      <c r="C1036">
        <v>6</v>
      </c>
      <c r="D1036">
        <v>6</v>
      </c>
      <c r="E1036">
        <v>6</v>
      </c>
      <c r="F1036">
        <v>0</v>
      </c>
      <c r="G1036">
        <v>0</v>
      </c>
    </row>
    <row r="1037" spans="1:7" x14ac:dyDescent="0.25">
      <c r="A1037" s="3" t="s">
        <v>46</v>
      </c>
      <c r="B1037" s="3" t="s">
        <v>8</v>
      </c>
      <c r="C1037" s="3">
        <v>5</v>
      </c>
      <c r="D1037" s="3">
        <v>5</v>
      </c>
      <c r="E1037" s="3">
        <v>5</v>
      </c>
      <c r="F1037" s="3">
        <v>0</v>
      </c>
      <c r="G1037" s="3">
        <v>0</v>
      </c>
    </row>
    <row r="1038" spans="1:7" x14ac:dyDescent="0.25">
      <c r="A1038" t="s">
        <v>46</v>
      </c>
      <c r="B1038" t="s">
        <v>9</v>
      </c>
      <c r="C1038">
        <v>3</v>
      </c>
      <c r="D1038">
        <v>3</v>
      </c>
      <c r="E1038">
        <v>3</v>
      </c>
      <c r="F1038">
        <v>0</v>
      </c>
      <c r="G1038">
        <v>0</v>
      </c>
    </row>
    <row r="1039" spans="1:7" x14ac:dyDescent="0.25">
      <c r="A1039" s="3" t="s">
        <v>46</v>
      </c>
      <c r="B1039" s="3" t="s">
        <v>9</v>
      </c>
      <c r="C1039" s="3">
        <v>1</v>
      </c>
      <c r="D1039" s="3">
        <v>1</v>
      </c>
      <c r="E1039" s="3">
        <v>1</v>
      </c>
      <c r="F1039" s="3">
        <v>0</v>
      </c>
      <c r="G1039" s="3">
        <v>0</v>
      </c>
    </row>
    <row r="1040" spans="1:7" x14ac:dyDescent="0.25">
      <c r="A1040" t="s">
        <v>46</v>
      </c>
      <c r="B1040" t="s">
        <v>10</v>
      </c>
      <c r="C1040">
        <v>63</v>
      </c>
      <c r="D1040">
        <v>62</v>
      </c>
      <c r="E1040">
        <v>58</v>
      </c>
      <c r="F1040">
        <v>4</v>
      </c>
      <c r="G1040">
        <v>0</v>
      </c>
    </row>
    <row r="1041" spans="1:7" x14ac:dyDescent="0.25">
      <c r="A1041" s="3" t="s">
        <v>46</v>
      </c>
      <c r="B1041" s="3" t="s">
        <v>10</v>
      </c>
      <c r="C1041" s="3">
        <v>65</v>
      </c>
      <c r="D1041" s="3">
        <v>65</v>
      </c>
      <c r="E1041" s="3">
        <v>58</v>
      </c>
      <c r="F1041" s="3">
        <v>7</v>
      </c>
      <c r="G1041" s="3">
        <v>0</v>
      </c>
    </row>
    <row r="1042" spans="1:7" x14ac:dyDescent="0.25">
      <c r="A1042" t="s">
        <v>46</v>
      </c>
      <c r="B1042" t="s">
        <v>177</v>
      </c>
      <c r="C1042">
        <v>29</v>
      </c>
      <c r="D1042">
        <v>27</v>
      </c>
      <c r="E1042">
        <v>17</v>
      </c>
      <c r="F1042">
        <v>10</v>
      </c>
      <c r="G1042">
        <v>0</v>
      </c>
    </row>
    <row r="1043" spans="1:7" x14ac:dyDescent="0.25">
      <c r="A1043" s="3" t="s">
        <v>46</v>
      </c>
      <c r="B1043" s="3" t="s">
        <v>177</v>
      </c>
      <c r="C1043" s="3">
        <v>25</v>
      </c>
      <c r="D1043" s="3">
        <v>25</v>
      </c>
      <c r="E1043" s="3">
        <v>24</v>
      </c>
      <c r="F1043" s="3">
        <v>1</v>
      </c>
      <c r="G1043" s="3">
        <v>0</v>
      </c>
    </row>
    <row r="1044" spans="1:7" x14ac:dyDescent="0.25">
      <c r="A1044" t="s">
        <v>170</v>
      </c>
      <c r="B1044" t="s">
        <v>2</v>
      </c>
      <c r="C1044">
        <v>14</v>
      </c>
      <c r="D1044">
        <v>9</v>
      </c>
      <c r="E1044">
        <f>7+2</f>
        <v>9</v>
      </c>
      <c r="F1044">
        <f>2-3+1</f>
        <v>0</v>
      </c>
      <c r="G1044">
        <v>0</v>
      </c>
    </row>
    <row r="1045" spans="1:7" x14ac:dyDescent="0.25">
      <c r="A1045" s="3" t="s">
        <v>170</v>
      </c>
      <c r="B1045" s="3" t="s">
        <v>2</v>
      </c>
      <c r="C1045" s="3">
        <v>1</v>
      </c>
      <c r="D1045" s="3">
        <v>1</v>
      </c>
      <c r="E1045" s="3">
        <v>1</v>
      </c>
      <c r="F1045" s="3">
        <v>0</v>
      </c>
      <c r="G1045" s="3">
        <v>0</v>
      </c>
    </row>
    <row r="1046" spans="1:7" x14ac:dyDescent="0.25">
      <c r="A1046" t="s">
        <v>170</v>
      </c>
      <c r="B1046" t="s">
        <v>4</v>
      </c>
      <c r="C1046">
        <v>2</v>
      </c>
      <c r="D1046">
        <v>0</v>
      </c>
      <c r="E1046">
        <v>0</v>
      </c>
      <c r="F1046">
        <v>0</v>
      </c>
      <c r="G1046">
        <v>0</v>
      </c>
    </row>
    <row r="1047" spans="1:7" x14ac:dyDescent="0.25">
      <c r="A1047" t="s">
        <v>170</v>
      </c>
      <c r="B1047" t="s">
        <v>5</v>
      </c>
      <c r="C1047">
        <v>58</v>
      </c>
      <c r="D1047">
        <v>57</v>
      </c>
      <c r="E1047">
        <f>36+19</f>
        <v>55</v>
      </c>
      <c r="F1047">
        <f>21-23+4</f>
        <v>2</v>
      </c>
      <c r="G1047">
        <v>1</v>
      </c>
    </row>
    <row r="1048" spans="1:7" x14ac:dyDescent="0.25">
      <c r="A1048" s="3" t="s">
        <v>170</v>
      </c>
      <c r="B1048" s="3" t="s">
        <v>5</v>
      </c>
      <c r="C1048" s="3">
        <v>38</v>
      </c>
      <c r="D1048" s="3">
        <v>38</v>
      </c>
      <c r="E1048" s="3">
        <v>32</v>
      </c>
      <c r="F1048" s="3">
        <v>6</v>
      </c>
      <c r="G1048" s="3">
        <v>0</v>
      </c>
    </row>
    <row r="1049" spans="1:7" x14ac:dyDescent="0.25">
      <c r="A1049" t="s">
        <v>170</v>
      </c>
      <c r="B1049" t="s">
        <v>185</v>
      </c>
      <c r="C1049">
        <f>30+3</f>
        <v>33</v>
      </c>
      <c r="D1049">
        <f>30+3</f>
        <v>33</v>
      </c>
      <c r="E1049">
        <f>20+2</f>
        <v>22</v>
      </c>
      <c r="F1049">
        <f>10+1</f>
        <v>11</v>
      </c>
      <c r="G1049">
        <v>0</v>
      </c>
    </row>
    <row r="1050" spans="1:7" x14ac:dyDescent="0.25">
      <c r="A1050" s="3" t="s">
        <v>170</v>
      </c>
      <c r="B1050" s="3" t="s">
        <v>185</v>
      </c>
      <c r="C1050" s="3">
        <v>39</v>
      </c>
      <c r="D1050" s="3">
        <v>37</v>
      </c>
      <c r="E1050" s="3">
        <f>26+6</f>
        <v>32</v>
      </c>
      <c r="F1050" s="3">
        <f>11-9+3</f>
        <v>5</v>
      </c>
      <c r="G1050" s="3">
        <v>0</v>
      </c>
    </row>
    <row r="1051" spans="1:7" x14ac:dyDescent="0.25">
      <c r="A1051" t="s">
        <v>170</v>
      </c>
      <c r="B1051" t="s">
        <v>186</v>
      </c>
      <c r="C1051">
        <f>138+3</f>
        <v>141</v>
      </c>
      <c r="D1051">
        <f>135+3</f>
        <v>138</v>
      </c>
      <c r="E1051">
        <f>112+17</f>
        <v>129</v>
      </c>
      <c r="F1051">
        <f>26-18+1</f>
        <v>9</v>
      </c>
      <c r="G1051">
        <v>0</v>
      </c>
    </row>
    <row r="1052" spans="1:7" x14ac:dyDescent="0.25">
      <c r="A1052" s="3" t="s">
        <v>170</v>
      </c>
      <c r="B1052" s="3" t="s">
        <v>186</v>
      </c>
      <c r="C1052" s="3">
        <v>111</v>
      </c>
      <c r="D1052" s="3">
        <v>108</v>
      </c>
      <c r="E1052" s="3">
        <v>103</v>
      </c>
      <c r="F1052" s="3">
        <v>5</v>
      </c>
      <c r="G1052" s="3">
        <v>1</v>
      </c>
    </row>
    <row r="1053" spans="1:7" x14ac:dyDescent="0.25">
      <c r="A1053" t="s">
        <v>170</v>
      </c>
      <c r="B1053" t="s">
        <v>187</v>
      </c>
      <c r="C1053">
        <f>152+1</f>
        <v>153</v>
      </c>
      <c r="D1053">
        <f>150+1</f>
        <v>151</v>
      </c>
      <c r="E1053">
        <f>109+27</f>
        <v>136</v>
      </c>
      <c r="F1053">
        <f>42-34+7</f>
        <v>15</v>
      </c>
      <c r="G1053">
        <v>1</v>
      </c>
    </row>
    <row r="1054" spans="1:7" x14ac:dyDescent="0.25">
      <c r="A1054" s="3" t="s">
        <v>170</v>
      </c>
      <c r="B1054" s="3" t="s">
        <v>187</v>
      </c>
      <c r="C1054" s="3">
        <v>104</v>
      </c>
      <c r="D1054" s="3">
        <v>102</v>
      </c>
      <c r="E1054" s="3">
        <v>93</v>
      </c>
      <c r="F1054" s="3">
        <v>9</v>
      </c>
      <c r="G1054" s="3">
        <v>1</v>
      </c>
    </row>
    <row r="1055" spans="1:7" x14ac:dyDescent="0.25">
      <c r="A1055" t="s">
        <v>170</v>
      </c>
      <c r="B1055" t="s">
        <v>6</v>
      </c>
      <c r="C1055">
        <v>57</v>
      </c>
      <c r="D1055">
        <v>57</v>
      </c>
      <c r="E1055">
        <v>56</v>
      </c>
      <c r="F1055">
        <v>1</v>
      </c>
      <c r="G1055">
        <v>0</v>
      </c>
    </row>
    <row r="1056" spans="1:7" x14ac:dyDescent="0.25">
      <c r="A1056" s="3" t="s">
        <v>170</v>
      </c>
      <c r="B1056" s="3" t="s">
        <v>6</v>
      </c>
      <c r="C1056" s="3">
        <v>40</v>
      </c>
      <c r="D1056" s="3">
        <v>40</v>
      </c>
      <c r="E1056" s="3">
        <v>40</v>
      </c>
      <c r="F1056" s="3">
        <v>0</v>
      </c>
      <c r="G1056" s="3">
        <v>0</v>
      </c>
    </row>
    <row r="1057" spans="1:7" x14ac:dyDescent="0.25">
      <c r="A1057" t="s">
        <v>170</v>
      </c>
      <c r="B1057" t="s">
        <v>7</v>
      </c>
      <c r="C1057">
        <v>39</v>
      </c>
      <c r="D1057">
        <v>36</v>
      </c>
      <c r="E1057">
        <v>36</v>
      </c>
      <c r="F1057">
        <v>0</v>
      </c>
      <c r="G1057">
        <v>1</v>
      </c>
    </row>
    <row r="1058" spans="1:7" x14ac:dyDescent="0.25">
      <c r="A1058" s="3" t="s">
        <v>170</v>
      </c>
      <c r="B1058" s="3" t="s">
        <v>7</v>
      </c>
      <c r="C1058" s="3">
        <v>38</v>
      </c>
      <c r="D1058" s="3">
        <v>33</v>
      </c>
      <c r="E1058" s="3">
        <v>28</v>
      </c>
      <c r="F1058" s="3">
        <v>5</v>
      </c>
      <c r="G1058" s="3">
        <v>0</v>
      </c>
    </row>
    <row r="1059" spans="1:7" x14ac:dyDescent="0.25">
      <c r="A1059" t="s">
        <v>170</v>
      </c>
      <c r="B1059" t="s">
        <v>8</v>
      </c>
      <c r="C1059">
        <v>15</v>
      </c>
      <c r="D1059">
        <v>15</v>
      </c>
      <c r="E1059">
        <v>14</v>
      </c>
      <c r="F1059">
        <v>1</v>
      </c>
      <c r="G1059">
        <v>0</v>
      </c>
    </row>
    <row r="1060" spans="1:7" x14ac:dyDescent="0.25">
      <c r="A1060" s="3" t="s">
        <v>170</v>
      </c>
      <c r="B1060" s="3" t="s">
        <v>8</v>
      </c>
      <c r="C1060" s="3">
        <v>14</v>
      </c>
      <c r="D1060" s="3">
        <v>14</v>
      </c>
      <c r="E1060" s="3">
        <v>13</v>
      </c>
      <c r="F1060" s="3">
        <v>1</v>
      </c>
      <c r="G1060" s="3">
        <v>0</v>
      </c>
    </row>
    <row r="1061" spans="1:7" x14ac:dyDescent="0.25">
      <c r="A1061" t="s">
        <v>170</v>
      </c>
      <c r="B1061" t="s">
        <v>9</v>
      </c>
      <c r="C1061">
        <v>14</v>
      </c>
      <c r="D1061">
        <v>14</v>
      </c>
      <c r="E1061">
        <v>13</v>
      </c>
      <c r="F1061">
        <v>1</v>
      </c>
      <c r="G1061">
        <v>0</v>
      </c>
    </row>
    <row r="1062" spans="1:7" x14ac:dyDescent="0.25">
      <c r="A1062" s="3" t="s">
        <v>170</v>
      </c>
      <c r="B1062" s="3" t="s">
        <v>9</v>
      </c>
      <c r="C1062" s="3">
        <v>6</v>
      </c>
      <c r="D1062" s="3">
        <v>6</v>
      </c>
      <c r="E1062" s="3">
        <v>5</v>
      </c>
      <c r="F1062" s="3">
        <v>1</v>
      </c>
      <c r="G1062" s="3">
        <v>0</v>
      </c>
    </row>
    <row r="1063" spans="1:7" x14ac:dyDescent="0.25">
      <c r="A1063" t="s">
        <v>170</v>
      </c>
      <c r="B1063" t="s">
        <v>10</v>
      </c>
      <c r="C1063">
        <v>113</v>
      </c>
      <c r="D1063">
        <v>113</v>
      </c>
      <c r="E1063">
        <v>109</v>
      </c>
      <c r="F1063">
        <v>4</v>
      </c>
      <c r="G1063">
        <v>0</v>
      </c>
    </row>
    <row r="1064" spans="1:7" x14ac:dyDescent="0.25">
      <c r="A1064" s="3" t="s">
        <v>170</v>
      </c>
      <c r="B1064" s="3" t="s">
        <v>10</v>
      </c>
      <c r="C1064" s="3">
        <v>98</v>
      </c>
      <c r="D1064" s="3">
        <v>98</v>
      </c>
      <c r="E1064" s="3">
        <v>84</v>
      </c>
      <c r="F1064" s="3">
        <v>14</v>
      </c>
      <c r="G1064" s="3">
        <v>0</v>
      </c>
    </row>
    <row r="1065" spans="1:7" x14ac:dyDescent="0.25">
      <c r="A1065" t="s">
        <v>170</v>
      </c>
      <c r="B1065" t="s">
        <v>177</v>
      </c>
      <c r="C1065">
        <v>9</v>
      </c>
      <c r="D1065">
        <v>9</v>
      </c>
      <c r="E1065">
        <v>3</v>
      </c>
      <c r="F1065">
        <v>6</v>
      </c>
      <c r="G1065">
        <v>0</v>
      </c>
    </row>
    <row r="1066" spans="1:7" x14ac:dyDescent="0.25">
      <c r="A1066" s="3" t="s">
        <v>170</v>
      </c>
      <c r="B1066" s="3" t="s">
        <v>177</v>
      </c>
      <c r="C1066" s="3">
        <v>9</v>
      </c>
      <c r="D1066" s="3">
        <v>9</v>
      </c>
      <c r="E1066" s="3">
        <v>8</v>
      </c>
      <c r="F1066" s="3">
        <v>1</v>
      </c>
      <c r="G1066" s="3">
        <v>0</v>
      </c>
    </row>
    <row r="1067" spans="1:7" x14ac:dyDescent="0.25">
      <c r="A1067" t="s">
        <v>120</v>
      </c>
      <c r="B1067" t="s">
        <v>2</v>
      </c>
      <c r="C1067">
        <v>5</v>
      </c>
      <c r="D1067">
        <v>3</v>
      </c>
      <c r="E1067">
        <v>3</v>
      </c>
      <c r="F1067">
        <v>0</v>
      </c>
      <c r="G1067">
        <v>0</v>
      </c>
    </row>
    <row r="1068" spans="1:7" x14ac:dyDescent="0.25">
      <c r="A1068" s="3" t="s">
        <v>120</v>
      </c>
      <c r="B1068" s="3" t="s">
        <v>2</v>
      </c>
      <c r="C1068" s="3">
        <v>1</v>
      </c>
      <c r="D1068" s="3">
        <v>1</v>
      </c>
      <c r="E1068" s="3">
        <v>1</v>
      </c>
      <c r="F1068" s="3">
        <v>0</v>
      </c>
      <c r="G1068" s="3">
        <v>0</v>
      </c>
    </row>
    <row r="1069" spans="1:7" x14ac:dyDescent="0.25">
      <c r="A1069" t="s">
        <v>120</v>
      </c>
      <c r="B1069" t="s">
        <v>4</v>
      </c>
      <c r="C1069">
        <v>2</v>
      </c>
      <c r="D1069">
        <v>0</v>
      </c>
      <c r="E1069">
        <v>0</v>
      </c>
      <c r="F1069">
        <v>0</v>
      </c>
      <c r="G1069">
        <v>0</v>
      </c>
    </row>
    <row r="1070" spans="1:7" x14ac:dyDescent="0.25">
      <c r="A1070" s="3" t="s">
        <v>120</v>
      </c>
      <c r="B1070" s="3" t="s">
        <v>4</v>
      </c>
      <c r="C1070" s="3">
        <v>1</v>
      </c>
      <c r="D1070" s="3">
        <v>0</v>
      </c>
      <c r="E1070" s="3">
        <v>0</v>
      </c>
      <c r="F1070" s="3">
        <v>0</v>
      </c>
      <c r="G1070" s="3">
        <v>0</v>
      </c>
    </row>
    <row r="1071" spans="1:7" x14ac:dyDescent="0.25">
      <c r="A1071" t="s">
        <v>120</v>
      </c>
      <c r="B1071" t="s">
        <v>5</v>
      </c>
      <c r="C1071">
        <v>32</v>
      </c>
      <c r="D1071">
        <v>32</v>
      </c>
      <c r="E1071">
        <f>17+6</f>
        <v>23</v>
      </c>
      <c r="F1071">
        <f>15-10+4</f>
        <v>9</v>
      </c>
      <c r="G1071">
        <v>0</v>
      </c>
    </row>
    <row r="1072" spans="1:7" x14ac:dyDescent="0.25">
      <c r="A1072" s="3" t="s">
        <v>120</v>
      </c>
      <c r="B1072" s="3" t="s">
        <v>5</v>
      </c>
      <c r="C1072" s="3">
        <v>33</v>
      </c>
      <c r="D1072" s="3">
        <v>33</v>
      </c>
      <c r="E1072" s="3">
        <v>27</v>
      </c>
      <c r="F1072" s="3">
        <v>6</v>
      </c>
      <c r="G1072" s="3">
        <v>0</v>
      </c>
    </row>
    <row r="1073" spans="1:7" x14ac:dyDescent="0.25">
      <c r="A1073" t="s">
        <v>120</v>
      </c>
      <c r="B1073" t="s">
        <v>185</v>
      </c>
      <c r="C1073">
        <f>44+18</f>
        <v>62</v>
      </c>
      <c r="D1073">
        <v>61</v>
      </c>
      <c r="E1073">
        <f>24+18</f>
        <v>42</v>
      </c>
      <c r="F1073">
        <f>38-25+6</f>
        <v>19</v>
      </c>
      <c r="G1073">
        <v>1</v>
      </c>
    </row>
    <row r="1074" spans="1:7" x14ac:dyDescent="0.25">
      <c r="A1074" s="3" t="s">
        <v>120</v>
      </c>
      <c r="B1074" s="3" t="s">
        <v>185</v>
      </c>
      <c r="C1074" s="3">
        <v>62</v>
      </c>
      <c r="D1074" s="3">
        <v>61</v>
      </c>
      <c r="E1074" s="3">
        <v>50</v>
      </c>
      <c r="F1074" s="3">
        <v>11</v>
      </c>
      <c r="G1074" s="3">
        <v>1</v>
      </c>
    </row>
    <row r="1075" spans="1:7" x14ac:dyDescent="0.25">
      <c r="A1075" t="s">
        <v>120</v>
      </c>
      <c r="B1075" t="s">
        <v>186</v>
      </c>
      <c r="C1075">
        <f>70+10</f>
        <v>80</v>
      </c>
      <c r="D1075">
        <f>69+10</f>
        <v>79</v>
      </c>
      <c r="E1075">
        <f>46+8</f>
        <v>54</v>
      </c>
      <c r="F1075">
        <f>23+2</f>
        <v>25</v>
      </c>
      <c r="G1075">
        <v>1</v>
      </c>
    </row>
    <row r="1076" spans="1:7" x14ac:dyDescent="0.25">
      <c r="A1076" s="3" t="s">
        <v>120</v>
      </c>
      <c r="B1076" s="3" t="s">
        <v>186</v>
      </c>
      <c r="C1076" s="3">
        <v>90</v>
      </c>
      <c r="D1076" s="3">
        <v>83</v>
      </c>
      <c r="E1076" s="3">
        <f>63+14</f>
        <v>77</v>
      </c>
      <c r="F1076" s="3">
        <f>21-17+2</f>
        <v>6</v>
      </c>
      <c r="G1076" s="3">
        <v>2</v>
      </c>
    </row>
    <row r="1077" spans="1:7" x14ac:dyDescent="0.25">
      <c r="A1077" t="s">
        <v>120</v>
      </c>
      <c r="B1077" t="s">
        <v>187</v>
      </c>
      <c r="C1077">
        <f>90+2</f>
        <v>92</v>
      </c>
      <c r="D1077">
        <f>86+2</f>
        <v>88</v>
      </c>
      <c r="E1077">
        <f>51+1</f>
        <v>52</v>
      </c>
      <c r="F1077">
        <f>35+1</f>
        <v>36</v>
      </c>
      <c r="G1077">
        <v>4</v>
      </c>
    </row>
    <row r="1078" spans="1:7" x14ac:dyDescent="0.25">
      <c r="A1078" s="3" t="s">
        <v>120</v>
      </c>
      <c r="B1078" s="3" t="s">
        <v>187</v>
      </c>
      <c r="C1078" s="3">
        <v>73</v>
      </c>
      <c r="D1078" s="3">
        <v>70</v>
      </c>
      <c r="E1078" s="3">
        <f>42+16</f>
        <v>58</v>
      </c>
      <c r="F1078" s="3">
        <f>28-23+7</f>
        <v>12</v>
      </c>
      <c r="G1078" s="3">
        <v>2</v>
      </c>
    </row>
    <row r="1079" spans="1:7" x14ac:dyDescent="0.25">
      <c r="A1079" t="s">
        <v>120</v>
      </c>
      <c r="B1079" t="s">
        <v>6</v>
      </c>
      <c r="C1079">
        <v>28</v>
      </c>
      <c r="D1079">
        <v>27</v>
      </c>
      <c r="E1079">
        <v>27</v>
      </c>
      <c r="F1079">
        <v>0</v>
      </c>
      <c r="G1079">
        <v>0</v>
      </c>
    </row>
    <row r="1080" spans="1:7" x14ac:dyDescent="0.25">
      <c r="A1080" s="3" t="s">
        <v>120</v>
      </c>
      <c r="B1080" s="3" t="s">
        <v>6</v>
      </c>
      <c r="C1080" s="3">
        <v>13</v>
      </c>
      <c r="D1080" s="3">
        <v>12</v>
      </c>
      <c r="E1080" s="3">
        <v>12</v>
      </c>
      <c r="F1080" s="3">
        <v>0</v>
      </c>
      <c r="G1080" s="3">
        <v>0</v>
      </c>
    </row>
    <row r="1081" spans="1:7" x14ac:dyDescent="0.25">
      <c r="A1081" t="s">
        <v>120</v>
      </c>
      <c r="B1081" t="s">
        <v>7</v>
      </c>
      <c r="C1081">
        <v>2</v>
      </c>
      <c r="D1081">
        <v>1</v>
      </c>
      <c r="E1081">
        <v>0</v>
      </c>
      <c r="F1081">
        <v>1</v>
      </c>
      <c r="G1081">
        <v>1</v>
      </c>
    </row>
    <row r="1082" spans="1:7" x14ac:dyDescent="0.25">
      <c r="A1082" s="3" t="s">
        <v>120</v>
      </c>
      <c r="B1082" s="3" t="s">
        <v>7</v>
      </c>
      <c r="C1082" s="3">
        <v>3</v>
      </c>
      <c r="D1082" s="3">
        <v>3</v>
      </c>
      <c r="E1082" s="3">
        <v>2</v>
      </c>
      <c r="F1082" s="3">
        <v>1</v>
      </c>
      <c r="G1082" s="3">
        <v>0</v>
      </c>
    </row>
    <row r="1083" spans="1:7" x14ac:dyDescent="0.25">
      <c r="A1083" t="s">
        <v>120</v>
      </c>
      <c r="B1083" t="s">
        <v>8</v>
      </c>
      <c r="C1083">
        <v>30</v>
      </c>
      <c r="D1083">
        <v>30</v>
      </c>
      <c r="E1083">
        <v>23</v>
      </c>
      <c r="F1083">
        <v>7</v>
      </c>
      <c r="G1083">
        <v>0</v>
      </c>
    </row>
    <row r="1084" spans="1:7" x14ac:dyDescent="0.25">
      <c r="A1084" s="3" t="s">
        <v>120</v>
      </c>
      <c r="B1084" s="3" t="s">
        <v>8</v>
      </c>
      <c r="C1084" s="3">
        <v>19</v>
      </c>
      <c r="D1084" s="3">
        <v>18</v>
      </c>
      <c r="E1084" s="3">
        <v>11</v>
      </c>
      <c r="F1084" s="3">
        <v>7</v>
      </c>
      <c r="G1084" s="3">
        <v>1</v>
      </c>
    </row>
    <row r="1085" spans="1:7" x14ac:dyDescent="0.25">
      <c r="A1085" t="s">
        <v>120</v>
      </c>
      <c r="B1085" t="s">
        <v>9</v>
      </c>
      <c r="C1085">
        <v>12</v>
      </c>
      <c r="D1085">
        <v>12</v>
      </c>
      <c r="E1085">
        <v>10</v>
      </c>
      <c r="F1085">
        <v>2</v>
      </c>
      <c r="G1085">
        <v>0</v>
      </c>
    </row>
    <row r="1086" spans="1:7" x14ac:dyDescent="0.25">
      <c r="A1086" s="3" t="s">
        <v>120</v>
      </c>
      <c r="B1086" s="3" t="s">
        <v>9</v>
      </c>
      <c r="C1086" s="3">
        <v>2</v>
      </c>
      <c r="D1086" s="3">
        <v>2</v>
      </c>
      <c r="E1086" s="3">
        <v>2</v>
      </c>
      <c r="F1086" s="3">
        <v>0</v>
      </c>
      <c r="G1086" s="3">
        <v>0</v>
      </c>
    </row>
    <row r="1087" spans="1:7" x14ac:dyDescent="0.25">
      <c r="A1087" t="s">
        <v>120</v>
      </c>
      <c r="B1087" t="s">
        <v>10</v>
      </c>
      <c r="C1087">
        <v>63</v>
      </c>
      <c r="D1087">
        <v>63</v>
      </c>
      <c r="E1087">
        <v>56</v>
      </c>
      <c r="F1087">
        <v>7</v>
      </c>
      <c r="G1087">
        <v>0</v>
      </c>
    </row>
    <row r="1088" spans="1:7" x14ac:dyDescent="0.25">
      <c r="A1088" s="3" t="s">
        <v>120</v>
      </c>
      <c r="B1088" s="3" t="s">
        <v>10</v>
      </c>
      <c r="C1088" s="3">
        <v>46</v>
      </c>
      <c r="D1088" s="3">
        <v>45</v>
      </c>
      <c r="E1088" s="3">
        <v>36</v>
      </c>
      <c r="F1088" s="3">
        <v>9</v>
      </c>
      <c r="G1088" s="3">
        <v>0</v>
      </c>
    </row>
    <row r="1089" spans="1:7" x14ac:dyDescent="0.25">
      <c r="A1089" t="s">
        <v>120</v>
      </c>
      <c r="B1089" t="s">
        <v>177</v>
      </c>
      <c r="C1089">
        <v>15</v>
      </c>
      <c r="D1089">
        <v>15</v>
      </c>
      <c r="E1089">
        <v>14</v>
      </c>
      <c r="F1089">
        <v>1</v>
      </c>
      <c r="G1089">
        <v>0</v>
      </c>
    </row>
    <row r="1090" spans="1:7" x14ac:dyDescent="0.25">
      <c r="A1090" s="3" t="s">
        <v>120</v>
      </c>
      <c r="B1090" s="3" t="s">
        <v>177</v>
      </c>
      <c r="C1090" s="3">
        <v>18</v>
      </c>
      <c r="D1090" s="3">
        <v>14</v>
      </c>
      <c r="E1090" s="3">
        <v>14</v>
      </c>
      <c r="F1090" s="3">
        <v>0</v>
      </c>
      <c r="G1090" s="3">
        <v>0</v>
      </c>
    </row>
    <row r="1091" spans="1:7" x14ac:dyDescent="0.25">
      <c r="A1091" t="s">
        <v>181</v>
      </c>
      <c r="B1091" t="s">
        <v>185</v>
      </c>
      <c r="C1091">
        <v>1</v>
      </c>
      <c r="D1091">
        <v>1</v>
      </c>
      <c r="E1091">
        <v>1</v>
      </c>
      <c r="F1091">
        <v>0</v>
      </c>
      <c r="G1091">
        <v>0</v>
      </c>
    </row>
    <row r="1092" spans="1:7" x14ac:dyDescent="0.25">
      <c r="A1092" s="3" t="s">
        <v>181</v>
      </c>
      <c r="B1092" s="3" t="s">
        <v>185</v>
      </c>
      <c r="C1092" s="3">
        <v>2</v>
      </c>
      <c r="D1092" s="3">
        <v>2</v>
      </c>
      <c r="E1092" s="3">
        <v>2</v>
      </c>
      <c r="F1092" s="3">
        <v>0</v>
      </c>
      <c r="G1092" s="3">
        <v>0</v>
      </c>
    </row>
    <row r="1093" spans="1:7" x14ac:dyDescent="0.25">
      <c r="A1093" t="s">
        <v>181</v>
      </c>
      <c r="B1093" t="s">
        <v>186</v>
      </c>
      <c r="C1093">
        <f>9+1</f>
        <v>10</v>
      </c>
      <c r="D1093">
        <f>8+1</f>
        <v>9</v>
      </c>
      <c r="E1093">
        <v>8</v>
      </c>
      <c r="F1093">
        <f>0+1</f>
        <v>1</v>
      </c>
      <c r="G1093">
        <v>0</v>
      </c>
    </row>
    <row r="1094" spans="1:7" x14ac:dyDescent="0.25">
      <c r="A1094" s="3" t="s">
        <v>181</v>
      </c>
      <c r="B1094" s="3" t="s">
        <v>186</v>
      </c>
      <c r="C1094" s="3">
        <v>5</v>
      </c>
      <c r="D1094" s="3">
        <v>5</v>
      </c>
      <c r="E1094" s="3">
        <v>4</v>
      </c>
      <c r="F1094" s="3">
        <v>1</v>
      </c>
      <c r="G1094" s="3">
        <v>0</v>
      </c>
    </row>
    <row r="1095" spans="1:7" x14ac:dyDescent="0.25">
      <c r="A1095" t="s">
        <v>181</v>
      </c>
      <c r="B1095" t="s">
        <v>187</v>
      </c>
      <c r="C1095">
        <f>2+1</f>
        <v>3</v>
      </c>
      <c r="D1095">
        <f>2+1</f>
        <v>3</v>
      </c>
      <c r="E1095">
        <v>3</v>
      </c>
      <c r="F1095">
        <v>0</v>
      </c>
      <c r="G1095">
        <v>0</v>
      </c>
    </row>
    <row r="1096" spans="1:7" x14ac:dyDescent="0.25">
      <c r="A1096" s="3" t="s">
        <v>181</v>
      </c>
      <c r="B1096" s="3" t="s">
        <v>187</v>
      </c>
      <c r="C1096" s="3">
        <v>5</v>
      </c>
      <c r="D1096" s="3">
        <v>5</v>
      </c>
      <c r="E1096" s="3">
        <v>5</v>
      </c>
      <c r="F1096" s="3">
        <v>0</v>
      </c>
      <c r="G1096" s="3">
        <v>0</v>
      </c>
    </row>
    <row r="1097" spans="1:7" x14ac:dyDescent="0.25">
      <c r="A1097" t="s">
        <v>181</v>
      </c>
      <c r="B1097" t="s">
        <v>6</v>
      </c>
      <c r="C1097">
        <v>2</v>
      </c>
      <c r="D1097">
        <v>1</v>
      </c>
      <c r="E1097">
        <v>1</v>
      </c>
      <c r="F1097">
        <v>0</v>
      </c>
      <c r="G1097">
        <v>0</v>
      </c>
    </row>
    <row r="1098" spans="1:7" x14ac:dyDescent="0.25">
      <c r="A1098" t="s">
        <v>181</v>
      </c>
      <c r="B1098" t="s">
        <v>8</v>
      </c>
      <c r="C1098">
        <v>2</v>
      </c>
      <c r="D1098">
        <v>2</v>
      </c>
      <c r="E1098">
        <v>2</v>
      </c>
      <c r="F1098">
        <v>0</v>
      </c>
      <c r="G1098">
        <v>0</v>
      </c>
    </row>
    <row r="1099" spans="1:7" x14ac:dyDescent="0.25">
      <c r="A1099" t="s">
        <v>181</v>
      </c>
      <c r="B1099" t="s">
        <v>9</v>
      </c>
      <c r="C1099">
        <v>1</v>
      </c>
      <c r="D1099">
        <v>1</v>
      </c>
      <c r="E1099">
        <v>1</v>
      </c>
      <c r="F1099">
        <v>0</v>
      </c>
      <c r="G1099">
        <v>0</v>
      </c>
    </row>
    <row r="1100" spans="1:7" x14ac:dyDescent="0.25">
      <c r="A1100" s="3" t="s">
        <v>181</v>
      </c>
      <c r="B1100" s="3" t="s">
        <v>9</v>
      </c>
      <c r="C1100" s="3">
        <v>1</v>
      </c>
      <c r="D1100" s="3">
        <v>1</v>
      </c>
      <c r="E1100" s="3">
        <v>0</v>
      </c>
      <c r="F1100" s="3">
        <v>1</v>
      </c>
      <c r="G1100" s="3">
        <v>0</v>
      </c>
    </row>
    <row r="1101" spans="1:7" x14ac:dyDescent="0.25">
      <c r="A1101" t="s">
        <v>181</v>
      </c>
      <c r="B1101" t="s">
        <v>10</v>
      </c>
      <c r="C1101">
        <v>5</v>
      </c>
      <c r="D1101">
        <v>5</v>
      </c>
      <c r="E1101">
        <v>5</v>
      </c>
      <c r="F1101">
        <v>0</v>
      </c>
      <c r="G1101">
        <v>0</v>
      </c>
    </row>
    <row r="1102" spans="1:7" x14ac:dyDescent="0.25">
      <c r="A1102" t="s">
        <v>179</v>
      </c>
      <c r="B1102" t="s">
        <v>2</v>
      </c>
      <c r="C1102">
        <v>4</v>
      </c>
      <c r="D1102">
        <v>3</v>
      </c>
      <c r="E1102">
        <v>3</v>
      </c>
      <c r="F1102">
        <v>0</v>
      </c>
      <c r="G1102">
        <v>0</v>
      </c>
    </row>
    <row r="1103" spans="1:7" x14ac:dyDescent="0.25">
      <c r="A1103" t="s">
        <v>179</v>
      </c>
      <c r="B1103" t="s">
        <v>4</v>
      </c>
      <c r="C1103">
        <v>2</v>
      </c>
      <c r="D1103">
        <v>0</v>
      </c>
      <c r="E1103">
        <v>0</v>
      </c>
      <c r="F1103">
        <v>0</v>
      </c>
      <c r="G1103">
        <v>0</v>
      </c>
    </row>
    <row r="1104" spans="1:7" x14ac:dyDescent="0.25">
      <c r="A1104" t="s">
        <v>179</v>
      </c>
      <c r="B1104" t="s">
        <v>5</v>
      </c>
      <c r="C1104">
        <v>2</v>
      </c>
      <c r="D1104">
        <v>2</v>
      </c>
      <c r="E1104">
        <v>1</v>
      </c>
      <c r="F1104">
        <v>1</v>
      </c>
      <c r="G1104">
        <v>0</v>
      </c>
    </row>
    <row r="1105" spans="1:7" x14ac:dyDescent="0.25">
      <c r="A1105" s="3" t="s">
        <v>179</v>
      </c>
      <c r="B1105" s="3" t="s">
        <v>5</v>
      </c>
      <c r="C1105" s="3">
        <v>3</v>
      </c>
      <c r="D1105" s="3">
        <v>3</v>
      </c>
      <c r="E1105" s="3">
        <v>2</v>
      </c>
      <c r="F1105" s="3">
        <v>1</v>
      </c>
      <c r="G1105" s="3">
        <v>0</v>
      </c>
    </row>
    <row r="1106" spans="1:7" x14ac:dyDescent="0.25">
      <c r="A1106" t="s">
        <v>179</v>
      </c>
      <c r="B1106" t="s">
        <v>185</v>
      </c>
      <c r="C1106">
        <f>30+1</f>
        <v>31</v>
      </c>
      <c r="D1106">
        <f>30+1</f>
        <v>31</v>
      </c>
      <c r="E1106">
        <f>23+5</f>
        <v>28</v>
      </c>
      <c r="F1106">
        <f>8-5+0</f>
        <v>3</v>
      </c>
      <c r="G1106">
        <v>0</v>
      </c>
    </row>
    <row r="1107" spans="1:7" x14ac:dyDescent="0.25">
      <c r="A1107" s="3" t="s">
        <v>179</v>
      </c>
      <c r="B1107" s="3" t="s">
        <v>185</v>
      </c>
      <c r="C1107" s="3">
        <v>14</v>
      </c>
      <c r="D1107" s="3">
        <v>13</v>
      </c>
      <c r="E1107" s="3">
        <v>10</v>
      </c>
      <c r="F1107" s="3">
        <v>3</v>
      </c>
      <c r="G1107" s="3">
        <v>0</v>
      </c>
    </row>
    <row r="1108" spans="1:7" x14ac:dyDescent="0.25">
      <c r="A1108" t="s">
        <v>179</v>
      </c>
      <c r="B1108" t="s">
        <v>186</v>
      </c>
      <c r="C1108">
        <f>32+1</f>
        <v>33</v>
      </c>
      <c r="D1108">
        <f>31+1</f>
        <v>32</v>
      </c>
      <c r="E1108">
        <f>23+1</f>
        <v>24</v>
      </c>
      <c r="F1108">
        <v>8</v>
      </c>
      <c r="G1108">
        <v>0</v>
      </c>
    </row>
    <row r="1109" spans="1:7" x14ac:dyDescent="0.25">
      <c r="A1109" s="3" t="s">
        <v>179</v>
      </c>
      <c r="B1109" s="3" t="s">
        <v>186</v>
      </c>
      <c r="C1109" s="3">
        <v>38</v>
      </c>
      <c r="D1109" s="3">
        <v>36</v>
      </c>
      <c r="E1109" s="3">
        <f>26+4</f>
        <v>30</v>
      </c>
      <c r="F1109" s="3">
        <f>10-5+1</f>
        <v>6</v>
      </c>
      <c r="G1109" s="3">
        <v>0</v>
      </c>
    </row>
    <row r="1110" spans="1:7" x14ac:dyDescent="0.25">
      <c r="A1110" t="s">
        <v>179</v>
      </c>
      <c r="B1110" t="s">
        <v>187</v>
      </c>
      <c r="C1110">
        <v>44</v>
      </c>
      <c r="D1110">
        <v>44</v>
      </c>
      <c r="E1110">
        <v>25</v>
      </c>
      <c r="F1110">
        <v>19</v>
      </c>
      <c r="G1110">
        <v>0</v>
      </c>
    </row>
    <row r="1111" spans="1:7" x14ac:dyDescent="0.25">
      <c r="A1111" s="3" t="s">
        <v>179</v>
      </c>
      <c r="B1111" s="3" t="s">
        <v>187</v>
      </c>
      <c r="C1111" s="3">
        <v>45</v>
      </c>
      <c r="D1111" s="3">
        <v>44</v>
      </c>
      <c r="E1111" s="3">
        <f>36+5</f>
        <v>41</v>
      </c>
      <c r="F1111" s="3">
        <f>8-6+1</f>
        <v>3</v>
      </c>
      <c r="G1111" s="3">
        <v>0</v>
      </c>
    </row>
    <row r="1112" spans="1:7" x14ac:dyDescent="0.25">
      <c r="A1112" t="s">
        <v>179</v>
      </c>
      <c r="B1112" t="s">
        <v>6</v>
      </c>
      <c r="C1112">
        <v>4</v>
      </c>
      <c r="D1112">
        <v>4</v>
      </c>
      <c r="E1112">
        <v>4</v>
      </c>
      <c r="F1112">
        <v>0</v>
      </c>
      <c r="G1112">
        <v>0</v>
      </c>
    </row>
    <row r="1113" spans="1:7" x14ac:dyDescent="0.25">
      <c r="A1113" s="3" t="s">
        <v>179</v>
      </c>
      <c r="B1113" s="3" t="s">
        <v>6</v>
      </c>
      <c r="C1113" s="3">
        <v>1</v>
      </c>
      <c r="D1113" s="3">
        <v>1</v>
      </c>
      <c r="E1113" s="3">
        <v>1</v>
      </c>
      <c r="F1113" s="3">
        <v>0</v>
      </c>
      <c r="G1113" s="3">
        <v>0</v>
      </c>
    </row>
    <row r="1114" spans="1:7" x14ac:dyDescent="0.25">
      <c r="A1114" t="s">
        <v>179</v>
      </c>
      <c r="B1114" t="s">
        <v>7</v>
      </c>
      <c r="C1114">
        <v>5</v>
      </c>
      <c r="D1114">
        <v>5</v>
      </c>
      <c r="E1114">
        <v>4</v>
      </c>
      <c r="F1114">
        <v>1</v>
      </c>
      <c r="G1114">
        <v>0</v>
      </c>
    </row>
    <row r="1115" spans="1:7" x14ac:dyDescent="0.25">
      <c r="A1115" s="3" t="s">
        <v>179</v>
      </c>
      <c r="B1115" s="3" t="s">
        <v>7</v>
      </c>
      <c r="C1115" s="3">
        <v>2</v>
      </c>
      <c r="D1115" s="3">
        <v>2</v>
      </c>
      <c r="E1115" s="3">
        <v>0</v>
      </c>
      <c r="F1115" s="3">
        <v>2</v>
      </c>
      <c r="G1115" s="3">
        <v>0</v>
      </c>
    </row>
    <row r="1116" spans="1:7" x14ac:dyDescent="0.25">
      <c r="A1116" t="s">
        <v>179</v>
      </c>
      <c r="B1116" t="s">
        <v>8</v>
      </c>
      <c r="C1116">
        <v>13</v>
      </c>
      <c r="D1116">
        <v>13</v>
      </c>
      <c r="E1116">
        <v>11</v>
      </c>
      <c r="F1116">
        <v>2</v>
      </c>
      <c r="G1116">
        <v>0</v>
      </c>
    </row>
    <row r="1117" spans="1:7" x14ac:dyDescent="0.25">
      <c r="A1117" s="3" t="s">
        <v>179</v>
      </c>
      <c r="B1117" s="3" t="s">
        <v>8</v>
      </c>
      <c r="C1117" s="3">
        <v>8</v>
      </c>
      <c r="D1117" s="3">
        <v>8</v>
      </c>
      <c r="E1117" s="3">
        <v>7</v>
      </c>
      <c r="F1117" s="3">
        <v>1</v>
      </c>
      <c r="G1117" s="3">
        <v>0</v>
      </c>
    </row>
    <row r="1118" spans="1:7" x14ac:dyDescent="0.25">
      <c r="A1118" t="s">
        <v>179</v>
      </c>
      <c r="B1118" t="s">
        <v>9</v>
      </c>
      <c r="C1118">
        <v>4</v>
      </c>
      <c r="D1118">
        <v>4</v>
      </c>
      <c r="E1118">
        <v>4</v>
      </c>
      <c r="F1118">
        <v>0</v>
      </c>
      <c r="G1118">
        <v>0</v>
      </c>
    </row>
    <row r="1119" spans="1:7" x14ac:dyDescent="0.25">
      <c r="A1119" s="3" t="s">
        <v>179</v>
      </c>
      <c r="B1119" s="3" t="s">
        <v>9</v>
      </c>
      <c r="C1119" s="3">
        <v>7</v>
      </c>
      <c r="D1119" s="3">
        <v>7</v>
      </c>
      <c r="E1119" s="3">
        <v>6</v>
      </c>
      <c r="F1119" s="3">
        <v>1</v>
      </c>
      <c r="G1119" s="3">
        <v>0</v>
      </c>
    </row>
    <row r="1120" spans="1:7" x14ac:dyDescent="0.25">
      <c r="A1120" t="s">
        <v>179</v>
      </c>
      <c r="B1120" t="s">
        <v>10</v>
      </c>
      <c r="C1120">
        <v>33</v>
      </c>
      <c r="D1120">
        <v>33</v>
      </c>
      <c r="E1120">
        <v>28</v>
      </c>
      <c r="F1120">
        <v>5</v>
      </c>
      <c r="G1120">
        <v>0</v>
      </c>
    </row>
    <row r="1121" spans="1:7" x14ac:dyDescent="0.25">
      <c r="A1121" s="3" t="s">
        <v>179</v>
      </c>
      <c r="B1121" s="3" t="s">
        <v>10</v>
      </c>
      <c r="C1121" s="3">
        <v>17</v>
      </c>
      <c r="D1121" s="3">
        <v>17</v>
      </c>
      <c r="E1121" s="3">
        <v>16</v>
      </c>
      <c r="F1121" s="3">
        <v>1</v>
      </c>
      <c r="G1121" s="3">
        <v>0</v>
      </c>
    </row>
    <row r="1122" spans="1:7" x14ac:dyDescent="0.25">
      <c r="A1122" s="3" t="s">
        <v>179</v>
      </c>
      <c r="B1122" s="3" t="s">
        <v>177</v>
      </c>
      <c r="C1122" s="3">
        <v>1</v>
      </c>
      <c r="D1122" s="3">
        <v>0</v>
      </c>
      <c r="E1122" s="3">
        <v>0</v>
      </c>
      <c r="F1122" s="3">
        <v>0</v>
      </c>
      <c r="G1122" s="3">
        <v>0</v>
      </c>
    </row>
    <row r="1123" spans="1:7" x14ac:dyDescent="0.25">
      <c r="A1123" t="s">
        <v>86</v>
      </c>
      <c r="B1123" t="s">
        <v>2</v>
      </c>
      <c r="C1123">
        <v>15</v>
      </c>
      <c r="D1123">
        <v>12</v>
      </c>
      <c r="E1123">
        <v>9</v>
      </c>
      <c r="F1123">
        <v>3</v>
      </c>
      <c r="G1123">
        <v>0</v>
      </c>
    </row>
    <row r="1124" spans="1:7" x14ac:dyDescent="0.25">
      <c r="A1124" s="3" t="s">
        <v>86</v>
      </c>
      <c r="B1124" s="3" t="s">
        <v>2</v>
      </c>
      <c r="C1124" s="3">
        <v>8</v>
      </c>
      <c r="D1124" s="3">
        <v>6</v>
      </c>
      <c r="E1124" s="3">
        <v>6</v>
      </c>
      <c r="F1124" s="3">
        <v>0</v>
      </c>
      <c r="G1124" s="3">
        <v>0</v>
      </c>
    </row>
    <row r="1125" spans="1:7" x14ac:dyDescent="0.25">
      <c r="A1125" t="s">
        <v>86</v>
      </c>
      <c r="B1125" t="s">
        <v>4</v>
      </c>
      <c r="C1125">
        <v>2</v>
      </c>
      <c r="D1125">
        <v>0</v>
      </c>
      <c r="E1125">
        <v>0</v>
      </c>
      <c r="F1125">
        <v>0</v>
      </c>
      <c r="G1125">
        <v>0</v>
      </c>
    </row>
    <row r="1126" spans="1:7" x14ac:dyDescent="0.25">
      <c r="A1126" t="s">
        <v>86</v>
      </c>
      <c r="B1126" t="s">
        <v>5</v>
      </c>
      <c r="C1126">
        <v>41</v>
      </c>
      <c r="D1126">
        <v>41</v>
      </c>
      <c r="E1126">
        <f>30+9</f>
        <v>39</v>
      </c>
      <c r="F1126">
        <f>11-9+0</f>
        <v>2</v>
      </c>
      <c r="G1126">
        <v>0</v>
      </c>
    </row>
    <row r="1127" spans="1:7" x14ac:dyDescent="0.25">
      <c r="A1127" s="3" t="s">
        <v>86</v>
      </c>
      <c r="B1127" s="3" t="s">
        <v>5</v>
      </c>
      <c r="C1127" s="3">
        <v>45</v>
      </c>
      <c r="D1127" s="3">
        <v>45</v>
      </c>
      <c r="E1127" s="3">
        <v>42</v>
      </c>
      <c r="F1127" s="3">
        <v>3</v>
      </c>
      <c r="G1127" s="3">
        <v>0</v>
      </c>
    </row>
    <row r="1128" spans="1:7" x14ac:dyDescent="0.25">
      <c r="A1128" t="s">
        <v>86</v>
      </c>
      <c r="B1128" t="s">
        <v>185</v>
      </c>
      <c r="C1128">
        <f>40+9</f>
        <v>49</v>
      </c>
      <c r="D1128">
        <f>40+9</f>
        <v>49</v>
      </c>
      <c r="E1128">
        <f>36+13</f>
        <v>49</v>
      </c>
      <c r="F1128">
        <v>0</v>
      </c>
      <c r="G1128">
        <v>0</v>
      </c>
    </row>
    <row r="1129" spans="1:7" x14ac:dyDescent="0.25">
      <c r="A1129" s="3" t="s">
        <v>86</v>
      </c>
      <c r="B1129" s="3" t="s">
        <v>185</v>
      </c>
      <c r="C1129" s="3">
        <v>47</v>
      </c>
      <c r="D1129" s="3">
        <v>47</v>
      </c>
      <c r="E1129" s="3">
        <f>40+1</f>
        <v>41</v>
      </c>
      <c r="F1129" s="3">
        <f>7-2+1</f>
        <v>6</v>
      </c>
      <c r="G1129" s="3">
        <v>0</v>
      </c>
    </row>
    <row r="1130" spans="1:7" x14ac:dyDescent="0.25">
      <c r="A1130" t="s">
        <v>86</v>
      </c>
      <c r="B1130" t="s">
        <v>186</v>
      </c>
      <c r="C1130">
        <f>80+2</f>
        <v>82</v>
      </c>
      <c r="D1130">
        <v>79</v>
      </c>
      <c r="E1130">
        <f>63+9</f>
        <v>72</v>
      </c>
      <c r="F1130">
        <f>17-11+1</f>
        <v>7</v>
      </c>
      <c r="G1130">
        <v>1</v>
      </c>
    </row>
    <row r="1131" spans="1:7" x14ac:dyDescent="0.25">
      <c r="A1131" s="3" t="s">
        <v>86</v>
      </c>
      <c r="B1131" s="3" t="s">
        <v>186</v>
      </c>
      <c r="C1131" s="3">
        <v>59</v>
      </c>
      <c r="D1131" s="3">
        <v>59</v>
      </c>
      <c r="E1131" s="3">
        <v>49</v>
      </c>
      <c r="F1131" s="3">
        <v>10</v>
      </c>
      <c r="G1131" s="3">
        <v>0</v>
      </c>
    </row>
    <row r="1132" spans="1:7" x14ac:dyDescent="0.25">
      <c r="A1132" t="s">
        <v>86</v>
      </c>
      <c r="B1132" t="s">
        <v>187</v>
      </c>
      <c r="C1132">
        <f>161+3</f>
        <v>164</v>
      </c>
      <c r="D1132">
        <f>161+3</f>
        <v>164</v>
      </c>
      <c r="E1132">
        <f>137+15</f>
        <v>152</v>
      </c>
      <c r="F1132">
        <f>27-16+1</f>
        <v>12</v>
      </c>
      <c r="G1132">
        <v>0</v>
      </c>
    </row>
    <row r="1133" spans="1:7" x14ac:dyDescent="0.25">
      <c r="A1133" s="3" t="s">
        <v>86</v>
      </c>
      <c r="B1133" s="3" t="s">
        <v>187</v>
      </c>
      <c r="C1133" s="3">
        <v>61</v>
      </c>
      <c r="D1133" s="3">
        <v>60</v>
      </c>
      <c r="E1133" s="3">
        <v>58</v>
      </c>
      <c r="F1133" s="3">
        <v>2</v>
      </c>
      <c r="G1133" s="3">
        <v>0</v>
      </c>
    </row>
    <row r="1134" spans="1:7" x14ac:dyDescent="0.25">
      <c r="A1134" t="s">
        <v>86</v>
      </c>
      <c r="B1134" t="s">
        <v>6</v>
      </c>
      <c r="C1134">
        <v>26</v>
      </c>
      <c r="D1134">
        <v>26</v>
      </c>
      <c r="E1134">
        <v>23</v>
      </c>
      <c r="F1134">
        <v>3</v>
      </c>
      <c r="G1134">
        <v>0</v>
      </c>
    </row>
    <row r="1135" spans="1:7" x14ac:dyDescent="0.25">
      <c r="A1135" s="3" t="s">
        <v>86</v>
      </c>
      <c r="B1135" s="3" t="s">
        <v>6</v>
      </c>
      <c r="C1135" s="3">
        <v>14</v>
      </c>
      <c r="D1135" s="3">
        <v>14</v>
      </c>
      <c r="E1135" s="3">
        <v>14</v>
      </c>
      <c r="F1135" s="3">
        <v>0</v>
      </c>
      <c r="G1135" s="3">
        <v>0</v>
      </c>
    </row>
    <row r="1136" spans="1:7" x14ac:dyDescent="0.25">
      <c r="A1136" s="3" t="s">
        <v>86</v>
      </c>
      <c r="B1136" s="3" t="s">
        <v>7</v>
      </c>
      <c r="C1136" s="3">
        <v>5</v>
      </c>
      <c r="D1136" s="3">
        <v>5</v>
      </c>
      <c r="E1136" s="3">
        <v>5</v>
      </c>
      <c r="F1136" s="3">
        <v>0</v>
      </c>
      <c r="G1136" s="3">
        <v>0</v>
      </c>
    </row>
    <row r="1137" spans="1:7" x14ac:dyDescent="0.25">
      <c r="A1137" t="s">
        <v>86</v>
      </c>
      <c r="B1137" t="s">
        <v>8</v>
      </c>
      <c r="C1137">
        <v>20</v>
      </c>
      <c r="D1137">
        <v>20</v>
      </c>
      <c r="E1137">
        <v>17</v>
      </c>
      <c r="F1137">
        <v>3</v>
      </c>
      <c r="G1137">
        <v>0</v>
      </c>
    </row>
    <row r="1138" spans="1:7" x14ac:dyDescent="0.25">
      <c r="A1138" s="3" t="s">
        <v>86</v>
      </c>
      <c r="B1138" s="3" t="s">
        <v>8</v>
      </c>
      <c r="C1138" s="3">
        <v>24</v>
      </c>
      <c r="D1138" s="3">
        <v>23</v>
      </c>
      <c r="E1138" s="3">
        <v>22</v>
      </c>
      <c r="F1138" s="3">
        <v>1</v>
      </c>
      <c r="G1138" s="3">
        <v>0</v>
      </c>
    </row>
    <row r="1139" spans="1:7" x14ac:dyDescent="0.25">
      <c r="A1139" t="s">
        <v>86</v>
      </c>
      <c r="B1139" t="s">
        <v>9</v>
      </c>
      <c r="C1139">
        <v>5</v>
      </c>
      <c r="D1139">
        <v>5</v>
      </c>
      <c r="E1139">
        <v>5</v>
      </c>
      <c r="F1139">
        <v>0</v>
      </c>
      <c r="G1139">
        <v>0</v>
      </c>
    </row>
    <row r="1140" spans="1:7" x14ac:dyDescent="0.25">
      <c r="A1140" s="3" t="s">
        <v>86</v>
      </c>
      <c r="B1140" s="3" t="s">
        <v>9</v>
      </c>
      <c r="C1140" s="3">
        <v>18</v>
      </c>
      <c r="D1140" s="3">
        <v>17</v>
      </c>
      <c r="E1140" s="3">
        <v>16</v>
      </c>
      <c r="F1140" s="3">
        <v>1</v>
      </c>
      <c r="G1140" s="3">
        <v>0</v>
      </c>
    </row>
    <row r="1141" spans="1:7" x14ac:dyDescent="0.25">
      <c r="A1141" t="s">
        <v>86</v>
      </c>
      <c r="B1141" t="s">
        <v>10</v>
      </c>
      <c r="C1141">
        <v>190</v>
      </c>
      <c r="D1141">
        <v>189</v>
      </c>
      <c r="E1141">
        <v>161</v>
      </c>
      <c r="F1141">
        <v>28</v>
      </c>
      <c r="G1141">
        <v>1</v>
      </c>
    </row>
    <row r="1142" spans="1:7" x14ac:dyDescent="0.25">
      <c r="A1142" s="3" t="s">
        <v>86</v>
      </c>
      <c r="B1142" s="3" t="s">
        <v>10</v>
      </c>
      <c r="C1142" s="3">
        <v>96</v>
      </c>
      <c r="D1142" s="3">
        <v>96</v>
      </c>
      <c r="E1142" s="3">
        <v>67</v>
      </c>
      <c r="F1142" s="3">
        <v>29</v>
      </c>
      <c r="G1142" s="3">
        <v>0</v>
      </c>
    </row>
    <row r="1143" spans="1:7" x14ac:dyDescent="0.25">
      <c r="A1143" t="s">
        <v>86</v>
      </c>
      <c r="B1143" t="s">
        <v>177</v>
      </c>
      <c r="C1143">
        <v>41</v>
      </c>
      <c r="D1143">
        <v>41</v>
      </c>
      <c r="E1143">
        <v>40</v>
      </c>
      <c r="F1143">
        <v>1</v>
      </c>
      <c r="G1143">
        <v>0</v>
      </c>
    </row>
    <row r="1144" spans="1:7" x14ac:dyDescent="0.25">
      <c r="A1144" s="3" t="s">
        <v>86</v>
      </c>
      <c r="B1144" s="3" t="s">
        <v>177</v>
      </c>
      <c r="C1144" s="3">
        <v>44</v>
      </c>
      <c r="D1144" s="3">
        <v>44</v>
      </c>
      <c r="E1144" s="3">
        <v>40</v>
      </c>
      <c r="F1144" s="3">
        <v>4</v>
      </c>
      <c r="G1144" s="3">
        <v>0</v>
      </c>
    </row>
    <row r="1145" spans="1:7" x14ac:dyDescent="0.25">
      <c r="A1145" t="s">
        <v>154</v>
      </c>
      <c r="B1145" t="s">
        <v>27</v>
      </c>
      <c r="C1145">
        <v>1</v>
      </c>
      <c r="D1145">
        <v>0</v>
      </c>
      <c r="E1145">
        <v>0</v>
      </c>
      <c r="F1145">
        <v>0</v>
      </c>
      <c r="G1145">
        <v>0</v>
      </c>
    </row>
    <row r="1146" spans="1:7" x14ac:dyDescent="0.25">
      <c r="A1146" t="s">
        <v>154</v>
      </c>
      <c r="B1146" t="s">
        <v>5</v>
      </c>
      <c r="C1146">
        <v>2</v>
      </c>
      <c r="D1146">
        <v>2</v>
      </c>
      <c r="E1146">
        <v>2</v>
      </c>
      <c r="F1146">
        <v>0</v>
      </c>
      <c r="G1146">
        <v>0</v>
      </c>
    </row>
    <row r="1147" spans="1:7" x14ac:dyDescent="0.25">
      <c r="A1147" s="3" t="s">
        <v>154</v>
      </c>
      <c r="B1147" s="3" t="s">
        <v>5</v>
      </c>
      <c r="C1147" s="3">
        <v>15</v>
      </c>
      <c r="D1147" s="3">
        <v>14</v>
      </c>
      <c r="E1147" s="3">
        <v>7</v>
      </c>
      <c r="F1147" s="3">
        <v>7</v>
      </c>
      <c r="G1147" s="3">
        <v>0</v>
      </c>
    </row>
    <row r="1148" spans="1:7" x14ac:dyDescent="0.25">
      <c r="A1148" t="s">
        <v>154</v>
      </c>
      <c r="B1148" t="s">
        <v>185</v>
      </c>
      <c r="C1148">
        <f>18+4</f>
        <v>22</v>
      </c>
      <c r="D1148">
        <f>18+4</f>
        <v>22</v>
      </c>
      <c r="E1148">
        <f>12+8</f>
        <v>20</v>
      </c>
      <c r="F1148">
        <f>10-9+1</f>
        <v>2</v>
      </c>
      <c r="G1148">
        <v>0</v>
      </c>
    </row>
    <row r="1149" spans="1:7" x14ac:dyDescent="0.25">
      <c r="A1149" s="3" t="s">
        <v>154</v>
      </c>
      <c r="B1149" s="3" t="s">
        <v>185</v>
      </c>
      <c r="C1149" s="3">
        <v>19</v>
      </c>
      <c r="D1149" s="3">
        <v>19</v>
      </c>
      <c r="E1149" s="3">
        <v>16</v>
      </c>
      <c r="F1149" s="3">
        <v>3</v>
      </c>
      <c r="G1149" s="3">
        <v>0</v>
      </c>
    </row>
    <row r="1150" spans="1:7" x14ac:dyDescent="0.25">
      <c r="A1150" t="s">
        <v>154</v>
      </c>
      <c r="B1150" t="s">
        <v>186</v>
      </c>
      <c r="C1150">
        <v>45</v>
      </c>
      <c r="D1150">
        <v>40</v>
      </c>
      <c r="E1150">
        <v>22</v>
      </c>
      <c r="F1150">
        <v>18</v>
      </c>
      <c r="G1150">
        <v>0</v>
      </c>
    </row>
    <row r="1151" spans="1:7" x14ac:dyDescent="0.25">
      <c r="A1151" s="3" t="s">
        <v>154</v>
      </c>
      <c r="B1151" s="3" t="s">
        <v>186</v>
      </c>
      <c r="C1151" s="3">
        <v>30</v>
      </c>
      <c r="D1151" s="3">
        <v>30</v>
      </c>
      <c r="E1151" s="3">
        <f>19+7</f>
        <v>26</v>
      </c>
      <c r="F1151" s="3">
        <f>11-11+4</f>
        <v>4</v>
      </c>
      <c r="G1151" s="3">
        <v>0</v>
      </c>
    </row>
    <row r="1152" spans="1:7" x14ac:dyDescent="0.25">
      <c r="A1152" t="s">
        <v>154</v>
      </c>
      <c r="B1152" t="s">
        <v>187</v>
      </c>
      <c r="C1152">
        <v>68</v>
      </c>
      <c r="D1152">
        <v>68</v>
      </c>
      <c r="E1152">
        <f>43+15</f>
        <v>58</v>
      </c>
      <c r="F1152">
        <f>25-19+4</f>
        <v>10</v>
      </c>
      <c r="G1152">
        <v>0</v>
      </c>
    </row>
    <row r="1153" spans="1:7" x14ac:dyDescent="0.25">
      <c r="A1153" s="3" t="s">
        <v>154</v>
      </c>
      <c r="B1153" s="3" t="s">
        <v>187</v>
      </c>
      <c r="C1153" s="3">
        <v>50</v>
      </c>
      <c r="D1153" s="3">
        <v>49</v>
      </c>
      <c r="E1153" s="3">
        <v>35</v>
      </c>
      <c r="F1153" s="3">
        <v>14</v>
      </c>
      <c r="G1153" s="3">
        <v>1</v>
      </c>
    </row>
    <row r="1154" spans="1:7" x14ac:dyDescent="0.25">
      <c r="A1154" t="s">
        <v>154</v>
      </c>
      <c r="B1154" t="s">
        <v>6</v>
      </c>
      <c r="C1154">
        <v>14</v>
      </c>
      <c r="D1154">
        <v>14</v>
      </c>
      <c r="E1154">
        <v>14</v>
      </c>
      <c r="F1154">
        <v>0</v>
      </c>
      <c r="G1154">
        <v>0</v>
      </c>
    </row>
    <row r="1155" spans="1:7" x14ac:dyDescent="0.25">
      <c r="A1155" s="3" t="s">
        <v>154</v>
      </c>
      <c r="B1155" s="3" t="s">
        <v>6</v>
      </c>
      <c r="C1155" s="3">
        <v>15</v>
      </c>
      <c r="D1155" s="3">
        <v>15</v>
      </c>
      <c r="E1155" s="3">
        <v>15</v>
      </c>
      <c r="F1155" s="3">
        <v>0</v>
      </c>
      <c r="G1155" s="3">
        <v>0</v>
      </c>
    </row>
    <row r="1156" spans="1:7" x14ac:dyDescent="0.25">
      <c r="A1156" t="s">
        <v>154</v>
      </c>
      <c r="B1156" t="s">
        <v>7</v>
      </c>
      <c r="C1156">
        <v>1</v>
      </c>
      <c r="D1156">
        <v>1</v>
      </c>
      <c r="E1156">
        <v>1</v>
      </c>
      <c r="F1156">
        <v>0</v>
      </c>
      <c r="G1156">
        <v>0</v>
      </c>
    </row>
    <row r="1157" spans="1:7" x14ac:dyDescent="0.25">
      <c r="A1157" t="s">
        <v>154</v>
      </c>
      <c r="B1157" t="s">
        <v>8</v>
      </c>
      <c r="C1157">
        <v>13</v>
      </c>
      <c r="D1157">
        <v>13</v>
      </c>
      <c r="E1157">
        <v>10</v>
      </c>
      <c r="F1157">
        <v>3</v>
      </c>
      <c r="G1157">
        <v>0</v>
      </c>
    </row>
    <row r="1158" spans="1:7" x14ac:dyDescent="0.25">
      <c r="A1158" s="3" t="s">
        <v>154</v>
      </c>
      <c r="B1158" s="3" t="s">
        <v>8</v>
      </c>
      <c r="C1158" s="3">
        <v>7</v>
      </c>
      <c r="D1158" s="3">
        <v>7</v>
      </c>
      <c r="E1158" s="3">
        <v>6</v>
      </c>
      <c r="F1158" s="3">
        <v>1</v>
      </c>
      <c r="G1158" s="3">
        <v>0</v>
      </c>
    </row>
    <row r="1159" spans="1:7" x14ac:dyDescent="0.25">
      <c r="A1159" s="3" t="s">
        <v>154</v>
      </c>
      <c r="B1159" s="3" t="s">
        <v>9</v>
      </c>
      <c r="C1159" s="3">
        <v>2</v>
      </c>
      <c r="D1159" s="3">
        <v>2</v>
      </c>
      <c r="E1159" s="3">
        <v>1</v>
      </c>
      <c r="F1159" s="3">
        <v>1</v>
      </c>
      <c r="G1159" s="3">
        <v>0</v>
      </c>
    </row>
    <row r="1160" spans="1:7" x14ac:dyDescent="0.25">
      <c r="A1160" t="s">
        <v>154</v>
      </c>
      <c r="B1160" t="s">
        <v>10</v>
      </c>
      <c r="C1160">
        <v>51</v>
      </c>
      <c r="D1160">
        <v>49</v>
      </c>
      <c r="E1160">
        <v>44</v>
      </c>
      <c r="F1160">
        <v>5</v>
      </c>
      <c r="G1160">
        <v>0</v>
      </c>
    </row>
    <row r="1161" spans="1:7" x14ac:dyDescent="0.25">
      <c r="A1161" s="3" t="s">
        <v>154</v>
      </c>
      <c r="B1161" s="3" t="s">
        <v>10</v>
      </c>
      <c r="C1161" s="3">
        <v>44</v>
      </c>
      <c r="D1161" s="3">
        <v>44</v>
      </c>
      <c r="E1161" s="3">
        <v>32</v>
      </c>
      <c r="F1161" s="3">
        <v>12</v>
      </c>
      <c r="G1161" s="3">
        <v>0</v>
      </c>
    </row>
    <row r="1162" spans="1:7" x14ac:dyDescent="0.25">
      <c r="A1162" t="s">
        <v>154</v>
      </c>
      <c r="B1162" t="s">
        <v>177</v>
      </c>
      <c r="C1162">
        <v>7</v>
      </c>
      <c r="D1162">
        <v>7</v>
      </c>
      <c r="E1162">
        <v>5</v>
      </c>
      <c r="F1162">
        <v>2</v>
      </c>
      <c r="G1162">
        <v>0</v>
      </c>
    </row>
    <row r="1163" spans="1:7" x14ac:dyDescent="0.25">
      <c r="A1163" s="3" t="s">
        <v>154</v>
      </c>
      <c r="B1163" s="3" t="s">
        <v>177</v>
      </c>
      <c r="C1163" s="3">
        <v>4</v>
      </c>
      <c r="D1163" s="3">
        <v>4</v>
      </c>
      <c r="E1163" s="3">
        <v>4</v>
      </c>
      <c r="F1163" s="3">
        <v>0</v>
      </c>
      <c r="G1163" s="3">
        <v>0</v>
      </c>
    </row>
    <row r="1164" spans="1:7" x14ac:dyDescent="0.25">
      <c r="A1164" t="s">
        <v>140</v>
      </c>
      <c r="B1164" t="s">
        <v>2</v>
      </c>
      <c r="C1164">
        <v>1</v>
      </c>
      <c r="D1164">
        <v>1</v>
      </c>
      <c r="E1164">
        <v>1</v>
      </c>
      <c r="F1164">
        <v>0</v>
      </c>
      <c r="G1164">
        <v>0</v>
      </c>
    </row>
    <row r="1165" spans="1:7" x14ac:dyDescent="0.25">
      <c r="A1165" s="3" t="s">
        <v>140</v>
      </c>
      <c r="B1165" s="3" t="s">
        <v>2</v>
      </c>
      <c r="C1165" s="3">
        <v>2</v>
      </c>
      <c r="D1165" s="3">
        <v>2</v>
      </c>
      <c r="E1165" s="3">
        <v>2</v>
      </c>
      <c r="F1165" s="3">
        <v>0</v>
      </c>
      <c r="G1165" s="3">
        <v>0</v>
      </c>
    </row>
    <row r="1166" spans="1:7" x14ac:dyDescent="0.25">
      <c r="A1166" t="s">
        <v>140</v>
      </c>
      <c r="B1166" t="s">
        <v>5</v>
      </c>
      <c r="C1166">
        <v>7</v>
      </c>
      <c r="D1166">
        <v>7</v>
      </c>
      <c r="E1166">
        <f>5+1</f>
        <v>6</v>
      </c>
      <c r="F1166">
        <f>2-1</f>
        <v>1</v>
      </c>
      <c r="G1166">
        <v>0</v>
      </c>
    </row>
    <row r="1167" spans="1:7" x14ac:dyDescent="0.25">
      <c r="A1167" s="3" t="s">
        <v>140</v>
      </c>
      <c r="B1167" s="3" t="s">
        <v>5</v>
      </c>
      <c r="C1167" s="3">
        <v>5</v>
      </c>
      <c r="D1167" s="3">
        <v>5</v>
      </c>
      <c r="E1167" s="3">
        <v>5</v>
      </c>
      <c r="F1167" s="3">
        <v>0</v>
      </c>
      <c r="G1167" s="3">
        <v>0</v>
      </c>
    </row>
    <row r="1168" spans="1:7" x14ac:dyDescent="0.25">
      <c r="A1168" t="s">
        <v>140</v>
      </c>
      <c r="B1168" t="s">
        <v>185</v>
      </c>
      <c r="C1168">
        <v>12</v>
      </c>
      <c r="D1168">
        <v>11</v>
      </c>
      <c r="E1168">
        <v>9</v>
      </c>
      <c r="F1168">
        <v>2</v>
      </c>
      <c r="G1168">
        <v>0</v>
      </c>
    </row>
    <row r="1169" spans="1:7" x14ac:dyDescent="0.25">
      <c r="A1169" s="3" t="s">
        <v>140</v>
      </c>
      <c r="B1169" s="3" t="s">
        <v>185</v>
      </c>
      <c r="C1169" s="3">
        <v>12</v>
      </c>
      <c r="D1169" s="3">
        <v>12</v>
      </c>
      <c r="E1169" s="3">
        <v>7</v>
      </c>
      <c r="F1169" s="3">
        <v>5</v>
      </c>
      <c r="G1169" s="3">
        <v>0</v>
      </c>
    </row>
    <row r="1170" spans="1:7" x14ac:dyDescent="0.25">
      <c r="A1170" t="s">
        <v>140</v>
      </c>
      <c r="B1170" t="s">
        <v>186</v>
      </c>
      <c r="C1170">
        <f>37+3</f>
        <v>40</v>
      </c>
      <c r="D1170">
        <f>37+3</f>
        <v>40</v>
      </c>
      <c r="E1170">
        <f>23+3</f>
        <v>26</v>
      </c>
      <c r="F1170">
        <v>14</v>
      </c>
      <c r="G1170">
        <v>0</v>
      </c>
    </row>
    <row r="1171" spans="1:7" x14ac:dyDescent="0.25">
      <c r="A1171" s="3" t="s">
        <v>140</v>
      </c>
      <c r="B1171" s="3" t="s">
        <v>186</v>
      </c>
      <c r="C1171" s="3">
        <v>21</v>
      </c>
      <c r="D1171" s="3">
        <v>17</v>
      </c>
      <c r="E1171" s="3">
        <f>12+4</f>
        <v>16</v>
      </c>
      <c r="F1171" s="3">
        <f>8-8+1</f>
        <v>1</v>
      </c>
      <c r="G1171" s="3">
        <v>0</v>
      </c>
    </row>
    <row r="1172" spans="1:7" x14ac:dyDescent="0.25">
      <c r="A1172" t="s">
        <v>140</v>
      </c>
      <c r="B1172" t="s">
        <v>187</v>
      </c>
      <c r="C1172">
        <v>41</v>
      </c>
      <c r="D1172">
        <v>41</v>
      </c>
      <c r="E1172">
        <v>35</v>
      </c>
      <c r="F1172">
        <v>6</v>
      </c>
      <c r="G1172">
        <v>0</v>
      </c>
    </row>
    <row r="1173" spans="1:7" x14ac:dyDescent="0.25">
      <c r="A1173" s="3" t="s">
        <v>140</v>
      </c>
      <c r="B1173" s="3" t="s">
        <v>187</v>
      </c>
      <c r="C1173" s="3">
        <v>35</v>
      </c>
      <c r="D1173" s="3">
        <v>35</v>
      </c>
      <c r="E1173" s="3">
        <v>20</v>
      </c>
      <c r="F1173" s="3">
        <f>15-2+2</f>
        <v>15</v>
      </c>
      <c r="G1173" s="3">
        <v>0</v>
      </c>
    </row>
    <row r="1174" spans="1:7" x14ac:dyDescent="0.25">
      <c r="A1174" t="s">
        <v>140</v>
      </c>
      <c r="B1174" t="s">
        <v>7</v>
      </c>
      <c r="C1174">
        <v>5</v>
      </c>
      <c r="D1174">
        <v>2</v>
      </c>
      <c r="E1174">
        <v>2</v>
      </c>
      <c r="F1174">
        <v>0</v>
      </c>
      <c r="G1174">
        <v>0</v>
      </c>
    </row>
    <row r="1175" spans="1:7" x14ac:dyDescent="0.25">
      <c r="A1175" s="3" t="s">
        <v>140</v>
      </c>
      <c r="B1175" s="3" t="s">
        <v>7</v>
      </c>
      <c r="C1175" s="3">
        <v>1</v>
      </c>
      <c r="D1175" s="3">
        <v>0</v>
      </c>
      <c r="E1175" s="3">
        <v>0</v>
      </c>
      <c r="F1175" s="3">
        <v>0</v>
      </c>
      <c r="G1175" s="3">
        <v>0</v>
      </c>
    </row>
    <row r="1176" spans="1:7" x14ac:dyDescent="0.25">
      <c r="A1176" t="s">
        <v>140</v>
      </c>
      <c r="B1176" t="s">
        <v>8</v>
      </c>
      <c r="C1176">
        <v>2</v>
      </c>
      <c r="D1176">
        <v>2</v>
      </c>
      <c r="E1176">
        <v>2</v>
      </c>
      <c r="F1176">
        <v>0</v>
      </c>
      <c r="G1176">
        <v>0</v>
      </c>
    </row>
    <row r="1177" spans="1:7" x14ac:dyDescent="0.25">
      <c r="A1177" s="3" t="s">
        <v>140</v>
      </c>
      <c r="B1177" s="3" t="s">
        <v>8</v>
      </c>
      <c r="C1177" s="3">
        <v>1</v>
      </c>
      <c r="D1177" s="3">
        <v>1</v>
      </c>
      <c r="E1177" s="3">
        <v>1</v>
      </c>
      <c r="F1177" s="3">
        <v>0</v>
      </c>
      <c r="G1177" s="3">
        <v>0</v>
      </c>
    </row>
    <row r="1178" spans="1:7" x14ac:dyDescent="0.25">
      <c r="A1178" t="s">
        <v>140</v>
      </c>
      <c r="B1178" t="s">
        <v>9</v>
      </c>
      <c r="C1178">
        <v>2</v>
      </c>
      <c r="D1178">
        <v>1</v>
      </c>
      <c r="E1178">
        <v>1</v>
      </c>
      <c r="F1178">
        <v>0</v>
      </c>
      <c r="G1178">
        <v>0</v>
      </c>
    </row>
    <row r="1179" spans="1:7" x14ac:dyDescent="0.25">
      <c r="A1179" s="3" t="s">
        <v>140</v>
      </c>
      <c r="B1179" s="3" t="s">
        <v>9</v>
      </c>
      <c r="C1179" s="3">
        <v>1</v>
      </c>
      <c r="D1179" s="3">
        <v>1</v>
      </c>
      <c r="E1179" s="3">
        <v>1</v>
      </c>
      <c r="F1179" s="3">
        <v>0</v>
      </c>
      <c r="G1179" s="3">
        <v>0</v>
      </c>
    </row>
    <row r="1180" spans="1:7" x14ac:dyDescent="0.25">
      <c r="A1180" t="s">
        <v>140</v>
      </c>
      <c r="B1180" t="s">
        <v>10</v>
      </c>
      <c r="C1180">
        <v>16</v>
      </c>
      <c r="D1180">
        <v>16</v>
      </c>
      <c r="E1180">
        <v>14</v>
      </c>
      <c r="F1180">
        <v>2</v>
      </c>
      <c r="G1180">
        <v>0</v>
      </c>
    </row>
    <row r="1181" spans="1:7" x14ac:dyDescent="0.25">
      <c r="A1181" s="3" t="s">
        <v>140</v>
      </c>
      <c r="B1181" s="3" t="s">
        <v>10</v>
      </c>
      <c r="C1181" s="3">
        <v>10</v>
      </c>
      <c r="D1181" s="3">
        <v>10</v>
      </c>
      <c r="E1181" s="3">
        <v>9</v>
      </c>
      <c r="F1181" s="3">
        <v>1</v>
      </c>
      <c r="G1181" s="3">
        <v>0</v>
      </c>
    </row>
    <row r="1182" spans="1:7" x14ac:dyDescent="0.25">
      <c r="A1182" t="s">
        <v>48</v>
      </c>
      <c r="B1182" t="s">
        <v>2</v>
      </c>
      <c r="C1182">
        <v>4</v>
      </c>
      <c r="D1182">
        <v>3</v>
      </c>
      <c r="E1182">
        <v>3</v>
      </c>
      <c r="F1182">
        <v>0</v>
      </c>
      <c r="G1182">
        <v>0</v>
      </c>
    </row>
    <row r="1183" spans="1:7" x14ac:dyDescent="0.25">
      <c r="A1183" t="s">
        <v>48</v>
      </c>
      <c r="B1183" t="s">
        <v>5</v>
      </c>
      <c r="C1183">
        <v>10</v>
      </c>
      <c r="D1183">
        <v>10</v>
      </c>
      <c r="E1183">
        <v>9</v>
      </c>
      <c r="F1183">
        <v>1</v>
      </c>
      <c r="G1183">
        <v>0</v>
      </c>
    </row>
    <row r="1184" spans="1:7" x14ac:dyDescent="0.25">
      <c r="A1184" s="3" t="s">
        <v>48</v>
      </c>
      <c r="B1184" s="3" t="s">
        <v>5</v>
      </c>
      <c r="C1184" s="3">
        <v>12</v>
      </c>
      <c r="D1184" s="3">
        <v>12</v>
      </c>
      <c r="E1184" s="3">
        <v>9</v>
      </c>
      <c r="F1184" s="3">
        <v>3</v>
      </c>
      <c r="G1184" s="3">
        <v>0</v>
      </c>
    </row>
    <row r="1185" spans="1:7" x14ac:dyDescent="0.25">
      <c r="A1185" t="s">
        <v>48</v>
      </c>
      <c r="B1185" t="s">
        <v>185</v>
      </c>
      <c r="C1185">
        <f>13+2</f>
        <v>15</v>
      </c>
      <c r="D1185">
        <f>13+2</f>
        <v>15</v>
      </c>
      <c r="E1185">
        <f>11+1</f>
        <v>12</v>
      </c>
      <c r="F1185">
        <f>4-2+1</f>
        <v>3</v>
      </c>
      <c r="G1185">
        <v>0</v>
      </c>
    </row>
    <row r="1186" spans="1:7" x14ac:dyDescent="0.25">
      <c r="A1186" s="3" t="s">
        <v>48</v>
      </c>
      <c r="B1186" s="3" t="s">
        <v>185</v>
      </c>
      <c r="C1186" s="3">
        <v>24</v>
      </c>
      <c r="D1186" s="3">
        <v>24</v>
      </c>
      <c r="E1186" s="3">
        <v>23</v>
      </c>
      <c r="F1186" s="3">
        <v>1</v>
      </c>
      <c r="G1186" s="3">
        <v>0</v>
      </c>
    </row>
    <row r="1187" spans="1:7" x14ac:dyDescent="0.25">
      <c r="A1187" t="s">
        <v>48</v>
      </c>
      <c r="B1187" t="s">
        <v>186</v>
      </c>
      <c r="C1187">
        <f>24+1</f>
        <v>25</v>
      </c>
      <c r="D1187">
        <f>23+1</f>
        <v>24</v>
      </c>
      <c r="E1187">
        <f>15+5</f>
        <v>20</v>
      </c>
      <c r="F1187">
        <f>9-6+1</f>
        <v>4</v>
      </c>
      <c r="G1187">
        <v>0</v>
      </c>
    </row>
    <row r="1188" spans="1:7" x14ac:dyDescent="0.25">
      <c r="A1188" s="3" t="s">
        <v>48</v>
      </c>
      <c r="B1188" s="3" t="s">
        <v>186</v>
      </c>
      <c r="C1188" s="3">
        <v>23</v>
      </c>
      <c r="D1188" s="3">
        <v>23</v>
      </c>
      <c r="E1188" s="3">
        <v>18</v>
      </c>
      <c r="F1188" s="3">
        <v>5</v>
      </c>
      <c r="G1188" s="3">
        <v>0</v>
      </c>
    </row>
    <row r="1189" spans="1:7" x14ac:dyDescent="0.25">
      <c r="A1189" t="s">
        <v>48</v>
      </c>
      <c r="B1189" t="s">
        <v>187</v>
      </c>
      <c r="C1189">
        <f>30+5</f>
        <v>35</v>
      </c>
      <c r="D1189">
        <f>30+5</f>
        <v>35</v>
      </c>
      <c r="E1189">
        <f>29+5</f>
        <v>34</v>
      </c>
      <c r="F1189">
        <v>1</v>
      </c>
      <c r="G1189">
        <v>0</v>
      </c>
    </row>
    <row r="1190" spans="1:7" x14ac:dyDescent="0.25">
      <c r="A1190" s="3" t="s">
        <v>48</v>
      </c>
      <c r="B1190" s="3" t="s">
        <v>187</v>
      </c>
      <c r="C1190" s="3">
        <v>13</v>
      </c>
      <c r="D1190" s="3">
        <v>13</v>
      </c>
      <c r="E1190" s="3">
        <v>11</v>
      </c>
      <c r="F1190" s="3">
        <v>2</v>
      </c>
      <c r="G1190" s="3">
        <v>0</v>
      </c>
    </row>
    <row r="1191" spans="1:7" x14ac:dyDescent="0.25">
      <c r="A1191" t="s">
        <v>48</v>
      </c>
      <c r="B1191" t="s">
        <v>6</v>
      </c>
      <c r="C1191">
        <v>20</v>
      </c>
      <c r="D1191">
        <v>20</v>
      </c>
      <c r="E1191">
        <v>20</v>
      </c>
      <c r="F1191">
        <v>0</v>
      </c>
      <c r="G1191">
        <v>0</v>
      </c>
    </row>
    <row r="1192" spans="1:7" x14ac:dyDescent="0.25">
      <c r="A1192" t="s">
        <v>48</v>
      </c>
      <c r="B1192" t="s">
        <v>7</v>
      </c>
      <c r="C1192">
        <v>1</v>
      </c>
      <c r="D1192">
        <v>1</v>
      </c>
      <c r="E1192">
        <v>1</v>
      </c>
      <c r="F1192">
        <v>0</v>
      </c>
      <c r="G1192">
        <v>0</v>
      </c>
    </row>
    <row r="1193" spans="1:7" x14ac:dyDescent="0.25">
      <c r="A1193" t="s">
        <v>48</v>
      </c>
      <c r="B1193" t="s">
        <v>8</v>
      </c>
      <c r="C1193">
        <v>5</v>
      </c>
      <c r="D1193">
        <v>5</v>
      </c>
      <c r="E1193">
        <v>4</v>
      </c>
      <c r="F1193">
        <v>1</v>
      </c>
      <c r="G1193">
        <v>0</v>
      </c>
    </row>
    <row r="1194" spans="1:7" x14ac:dyDescent="0.25">
      <c r="A1194" s="3" t="s">
        <v>48</v>
      </c>
      <c r="B1194" s="3" t="s">
        <v>8</v>
      </c>
      <c r="C1194" s="3">
        <v>6</v>
      </c>
      <c r="D1194" s="3">
        <v>5</v>
      </c>
      <c r="E1194" s="3">
        <v>4</v>
      </c>
      <c r="F1194" s="3">
        <v>1</v>
      </c>
      <c r="G1194" s="3">
        <v>0</v>
      </c>
    </row>
    <row r="1195" spans="1:7" x14ac:dyDescent="0.25">
      <c r="A1195" s="3" t="s">
        <v>48</v>
      </c>
      <c r="B1195" s="3" t="s">
        <v>9</v>
      </c>
      <c r="C1195" s="3">
        <v>3</v>
      </c>
      <c r="D1195" s="3">
        <v>3</v>
      </c>
      <c r="E1195" s="3">
        <v>3</v>
      </c>
      <c r="F1195" s="3">
        <v>0</v>
      </c>
      <c r="G1195" s="3">
        <v>0</v>
      </c>
    </row>
    <row r="1196" spans="1:7" x14ac:dyDescent="0.25">
      <c r="A1196" t="s">
        <v>48</v>
      </c>
      <c r="B1196" t="s">
        <v>10</v>
      </c>
      <c r="C1196">
        <v>29</v>
      </c>
      <c r="D1196">
        <v>29</v>
      </c>
      <c r="E1196">
        <v>29</v>
      </c>
      <c r="F1196">
        <v>0</v>
      </c>
      <c r="G1196">
        <v>0</v>
      </c>
    </row>
    <row r="1197" spans="1:7" x14ac:dyDescent="0.25">
      <c r="A1197" s="3" t="s">
        <v>48</v>
      </c>
      <c r="B1197" s="3" t="s">
        <v>10</v>
      </c>
      <c r="C1197" s="3">
        <v>16</v>
      </c>
      <c r="D1197" s="3">
        <v>16</v>
      </c>
      <c r="E1197" s="3">
        <v>16</v>
      </c>
      <c r="F1197" s="3">
        <v>0</v>
      </c>
      <c r="G1197" s="3">
        <v>0</v>
      </c>
    </row>
    <row r="1198" spans="1:7" x14ac:dyDescent="0.25">
      <c r="A1198" t="s">
        <v>48</v>
      </c>
      <c r="B1198" t="s">
        <v>177</v>
      </c>
      <c r="C1198">
        <v>7</v>
      </c>
      <c r="D1198">
        <v>6</v>
      </c>
      <c r="E1198">
        <v>5</v>
      </c>
      <c r="F1198">
        <v>1</v>
      </c>
      <c r="G1198">
        <v>0</v>
      </c>
    </row>
    <row r="1199" spans="1:7" x14ac:dyDescent="0.25">
      <c r="A1199" s="3" t="s">
        <v>166</v>
      </c>
      <c r="B1199" s="3" t="s">
        <v>1</v>
      </c>
      <c r="C1199" s="3">
        <v>1</v>
      </c>
      <c r="D1199" s="3">
        <v>1</v>
      </c>
      <c r="E1199" s="3">
        <v>1</v>
      </c>
      <c r="F1199" s="3">
        <v>0</v>
      </c>
      <c r="G1199" s="3">
        <v>0</v>
      </c>
    </row>
    <row r="1200" spans="1:7" x14ac:dyDescent="0.25">
      <c r="A1200" t="s">
        <v>166</v>
      </c>
      <c r="B1200" t="s">
        <v>2</v>
      </c>
      <c r="C1200">
        <v>1</v>
      </c>
      <c r="D1200">
        <v>1</v>
      </c>
      <c r="E1200">
        <v>1</v>
      </c>
      <c r="F1200">
        <v>0</v>
      </c>
      <c r="G1200">
        <v>0</v>
      </c>
    </row>
    <row r="1201" spans="1:7" x14ac:dyDescent="0.25">
      <c r="A1201" s="3" t="s">
        <v>166</v>
      </c>
      <c r="B1201" s="3" t="s">
        <v>4</v>
      </c>
      <c r="C1201" s="3">
        <v>1</v>
      </c>
      <c r="D1201" s="3">
        <v>0</v>
      </c>
      <c r="E1201" s="3">
        <v>0</v>
      </c>
      <c r="F1201" s="3">
        <v>0</v>
      </c>
      <c r="G1201" s="3">
        <v>0</v>
      </c>
    </row>
    <row r="1202" spans="1:7" x14ac:dyDescent="0.25">
      <c r="A1202" t="s">
        <v>166</v>
      </c>
      <c r="B1202" t="s">
        <v>5</v>
      </c>
      <c r="C1202">
        <v>1</v>
      </c>
      <c r="D1202">
        <v>1</v>
      </c>
      <c r="E1202">
        <v>1</v>
      </c>
      <c r="F1202">
        <v>0</v>
      </c>
      <c r="G1202">
        <v>0</v>
      </c>
    </row>
    <row r="1203" spans="1:7" x14ac:dyDescent="0.25">
      <c r="A1203" s="3" t="s">
        <v>166</v>
      </c>
      <c r="B1203" s="3" t="s">
        <v>5</v>
      </c>
      <c r="C1203" s="3">
        <v>6</v>
      </c>
      <c r="D1203" s="3">
        <v>6</v>
      </c>
      <c r="E1203" s="3">
        <v>3</v>
      </c>
      <c r="F1203" s="3">
        <v>3</v>
      </c>
      <c r="G1203" s="3">
        <v>0</v>
      </c>
    </row>
    <row r="1204" spans="1:7" x14ac:dyDescent="0.25">
      <c r="A1204" t="s">
        <v>166</v>
      </c>
      <c r="B1204" t="s">
        <v>185</v>
      </c>
      <c r="C1204">
        <f>30+4</f>
        <v>34</v>
      </c>
      <c r="D1204">
        <f>28+4</f>
        <v>32</v>
      </c>
      <c r="E1204">
        <f>12+12</f>
        <v>24</v>
      </c>
      <c r="F1204">
        <f>20-14+2</f>
        <v>8</v>
      </c>
      <c r="G1204">
        <v>1</v>
      </c>
    </row>
    <row r="1205" spans="1:7" x14ac:dyDescent="0.25">
      <c r="A1205" s="3" t="s">
        <v>166</v>
      </c>
      <c r="B1205" s="3" t="s">
        <v>185</v>
      </c>
      <c r="C1205" s="3">
        <v>18</v>
      </c>
      <c r="D1205" s="3">
        <v>18</v>
      </c>
      <c r="E1205" s="3">
        <v>9</v>
      </c>
      <c r="F1205" s="3">
        <v>9</v>
      </c>
      <c r="G1205" s="3">
        <v>0</v>
      </c>
    </row>
    <row r="1206" spans="1:7" x14ac:dyDescent="0.25">
      <c r="A1206" t="s">
        <v>166</v>
      </c>
      <c r="B1206" t="s">
        <v>186</v>
      </c>
      <c r="C1206">
        <f>83+5</f>
        <v>88</v>
      </c>
      <c r="D1206">
        <v>84</v>
      </c>
      <c r="E1206">
        <f>28+19</f>
        <v>47</v>
      </c>
      <c r="F1206">
        <f>58-34+13</f>
        <v>37</v>
      </c>
      <c r="G1206">
        <v>0</v>
      </c>
    </row>
    <row r="1207" spans="1:7" x14ac:dyDescent="0.25">
      <c r="A1207" s="3" t="s">
        <v>166</v>
      </c>
      <c r="B1207" s="3" t="s">
        <v>186</v>
      </c>
      <c r="C1207" s="3">
        <v>43</v>
      </c>
      <c r="D1207" s="3">
        <v>41</v>
      </c>
      <c r="E1207" s="3">
        <v>28</v>
      </c>
      <c r="F1207" s="3">
        <v>13</v>
      </c>
      <c r="G1207" s="3">
        <v>0</v>
      </c>
    </row>
    <row r="1208" spans="1:7" x14ac:dyDescent="0.25">
      <c r="A1208" t="s">
        <v>166</v>
      </c>
      <c r="B1208" t="s">
        <v>187</v>
      </c>
      <c r="C1208">
        <v>36</v>
      </c>
      <c r="D1208">
        <v>35</v>
      </c>
      <c r="E1208">
        <f>14+12</f>
        <v>26</v>
      </c>
      <c r="F1208">
        <f>22-13+0</f>
        <v>9</v>
      </c>
      <c r="G1208">
        <v>0</v>
      </c>
    </row>
    <row r="1209" spans="1:7" x14ac:dyDescent="0.25">
      <c r="A1209" s="3" t="s">
        <v>166</v>
      </c>
      <c r="B1209" s="3" t="s">
        <v>187</v>
      </c>
      <c r="C1209" s="3">
        <v>10</v>
      </c>
      <c r="D1209" s="3">
        <v>9</v>
      </c>
      <c r="E1209" s="3">
        <v>6</v>
      </c>
      <c r="F1209" s="3">
        <v>3</v>
      </c>
      <c r="G1209" s="3">
        <v>0</v>
      </c>
    </row>
    <row r="1210" spans="1:7" x14ac:dyDescent="0.25">
      <c r="A1210" t="s">
        <v>166</v>
      </c>
      <c r="B1210" t="s">
        <v>6</v>
      </c>
      <c r="C1210">
        <v>19</v>
      </c>
      <c r="D1210">
        <v>19</v>
      </c>
      <c r="E1210">
        <v>19</v>
      </c>
      <c r="F1210">
        <v>0</v>
      </c>
      <c r="G1210">
        <v>0</v>
      </c>
    </row>
    <row r="1211" spans="1:7" x14ac:dyDescent="0.25">
      <c r="A1211" s="3" t="s">
        <v>166</v>
      </c>
      <c r="B1211" s="3" t="s">
        <v>6</v>
      </c>
      <c r="C1211" s="3">
        <v>3</v>
      </c>
      <c r="D1211" s="3">
        <v>3</v>
      </c>
      <c r="E1211" s="3">
        <v>3</v>
      </c>
      <c r="F1211" s="3">
        <v>0</v>
      </c>
      <c r="G1211" s="3">
        <v>0</v>
      </c>
    </row>
    <row r="1212" spans="1:7" x14ac:dyDescent="0.25">
      <c r="A1212" t="s">
        <v>166</v>
      </c>
      <c r="B1212" t="s">
        <v>7</v>
      </c>
      <c r="C1212">
        <v>6</v>
      </c>
      <c r="D1212">
        <v>4</v>
      </c>
      <c r="E1212">
        <v>3</v>
      </c>
      <c r="F1212">
        <v>1</v>
      </c>
      <c r="G1212">
        <v>0</v>
      </c>
    </row>
    <row r="1213" spans="1:7" x14ac:dyDescent="0.25">
      <c r="A1213" t="s">
        <v>166</v>
      </c>
      <c r="B1213" t="s">
        <v>8</v>
      </c>
      <c r="C1213">
        <v>17</v>
      </c>
      <c r="D1213">
        <v>16</v>
      </c>
      <c r="E1213">
        <v>7</v>
      </c>
      <c r="F1213">
        <v>9</v>
      </c>
      <c r="G1213">
        <v>0</v>
      </c>
    </row>
    <row r="1214" spans="1:7" x14ac:dyDescent="0.25">
      <c r="A1214" s="3" t="s">
        <v>166</v>
      </c>
      <c r="B1214" s="3" t="s">
        <v>8</v>
      </c>
      <c r="C1214" s="3">
        <v>1</v>
      </c>
      <c r="D1214" s="3">
        <v>1</v>
      </c>
      <c r="E1214" s="3">
        <v>1</v>
      </c>
      <c r="F1214" s="3">
        <v>0</v>
      </c>
      <c r="G1214" s="3">
        <v>0</v>
      </c>
    </row>
    <row r="1215" spans="1:7" x14ac:dyDescent="0.25">
      <c r="A1215" t="s">
        <v>166</v>
      </c>
      <c r="B1215" t="s">
        <v>9</v>
      </c>
      <c r="C1215">
        <v>5</v>
      </c>
      <c r="D1215">
        <v>5</v>
      </c>
      <c r="E1215">
        <v>4</v>
      </c>
      <c r="F1215">
        <v>1</v>
      </c>
      <c r="G1215">
        <v>0</v>
      </c>
    </row>
    <row r="1216" spans="1:7" x14ac:dyDescent="0.25">
      <c r="A1216" s="3" t="s">
        <v>166</v>
      </c>
      <c r="B1216" s="3" t="s">
        <v>9</v>
      </c>
      <c r="C1216" s="3">
        <v>1</v>
      </c>
      <c r="D1216" s="3">
        <v>1</v>
      </c>
      <c r="E1216" s="3">
        <v>1</v>
      </c>
      <c r="F1216" s="3">
        <v>0</v>
      </c>
      <c r="G1216" s="3">
        <v>0</v>
      </c>
    </row>
    <row r="1217" spans="1:7" x14ac:dyDescent="0.25">
      <c r="A1217" t="s">
        <v>166</v>
      </c>
      <c r="B1217" t="s">
        <v>10</v>
      </c>
      <c r="C1217">
        <v>32</v>
      </c>
      <c r="D1217">
        <v>32</v>
      </c>
      <c r="E1217">
        <v>28</v>
      </c>
      <c r="F1217">
        <v>4</v>
      </c>
      <c r="G1217">
        <v>0</v>
      </c>
    </row>
    <row r="1218" spans="1:7" x14ac:dyDescent="0.25">
      <c r="A1218" s="3" t="s">
        <v>166</v>
      </c>
      <c r="B1218" s="3" t="s">
        <v>10</v>
      </c>
      <c r="C1218" s="3">
        <v>11</v>
      </c>
      <c r="D1218" s="3">
        <v>11</v>
      </c>
      <c r="E1218" s="3">
        <v>7</v>
      </c>
      <c r="F1218" s="3">
        <v>4</v>
      </c>
      <c r="G1218" s="3">
        <v>0</v>
      </c>
    </row>
    <row r="1219" spans="1:7" x14ac:dyDescent="0.25">
      <c r="A1219" t="s">
        <v>166</v>
      </c>
      <c r="B1219" t="s">
        <v>177</v>
      </c>
      <c r="C1219">
        <v>1</v>
      </c>
      <c r="D1219">
        <v>1</v>
      </c>
      <c r="E1219">
        <v>1</v>
      </c>
      <c r="F1219">
        <v>0</v>
      </c>
      <c r="G1219">
        <v>0</v>
      </c>
    </row>
    <row r="1220" spans="1:7" x14ac:dyDescent="0.25">
      <c r="A1220" s="3" t="s">
        <v>166</v>
      </c>
      <c r="B1220" s="3" t="s">
        <v>177</v>
      </c>
      <c r="C1220" s="3">
        <v>4</v>
      </c>
      <c r="D1220" s="3">
        <v>3</v>
      </c>
      <c r="E1220" s="3">
        <v>3</v>
      </c>
      <c r="F1220" s="3">
        <v>0</v>
      </c>
      <c r="G1220" s="3">
        <v>0</v>
      </c>
    </row>
    <row r="1221" spans="1:7" x14ac:dyDescent="0.25">
      <c r="A1221" t="s">
        <v>92</v>
      </c>
      <c r="B1221" t="s">
        <v>2</v>
      </c>
      <c r="C1221">
        <v>2</v>
      </c>
      <c r="D1221">
        <v>2</v>
      </c>
      <c r="E1221">
        <v>1</v>
      </c>
      <c r="F1221">
        <v>1</v>
      </c>
      <c r="G1221">
        <v>0</v>
      </c>
    </row>
    <row r="1222" spans="1:7" x14ac:dyDescent="0.25">
      <c r="A1222" t="s">
        <v>92</v>
      </c>
      <c r="B1222" t="s">
        <v>5</v>
      </c>
      <c r="C1222">
        <v>1</v>
      </c>
      <c r="D1222">
        <v>1</v>
      </c>
      <c r="E1222">
        <v>1</v>
      </c>
      <c r="F1222">
        <v>0</v>
      </c>
      <c r="G1222">
        <v>0</v>
      </c>
    </row>
    <row r="1223" spans="1:7" x14ac:dyDescent="0.25">
      <c r="A1223" s="3" t="s">
        <v>92</v>
      </c>
      <c r="B1223" s="3" t="s">
        <v>5</v>
      </c>
      <c r="C1223" s="3">
        <v>1</v>
      </c>
      <c r="D1223" s="3">
        <v>1</v>
      </c>
      <c r="E1223" s="3">
        <v>1</v>
      </c>
      <c r="F1223" s="3">
        <v>0</v>
      </c>
      <c r="G1223" s="3">
        <v>0</v>
      </c>
    </row>
    <row r="1224" spans="1:7" x14ac:dyDescent="0.25">
      <c r="A1224" t="s">
        <v>92</v>
      </c>
      <c r="B1224" t="s">
        <v>185</v>
      </c>
      <c r="C1224">
        <f>14+1</f>
        <v>15</v>
      </c>
      <c r="D1224">
        <f>14+1</f>
        <v>15</v>
      </c>
      <c r="E1224">
        <f>13+1</f>
        <v>14</v>
      </c>
      <c r="F1224">
        <v>1</v>
      </c>
      <c r="G1224">
        <v>0</v>
      </c>
    </row>
    <row r="1225" spans="1:7" x14ac:dyDescent="0.25">
      <c r="A1225" s="3" t="s">
        <v>92</v>
      </c>
      <c r="B1225" s="3" t="s">
        <v>185</v>
      </c>
      <c r="C1225" s="3">
        <v>12</v>
      </c>
      <c r="D1225" s="3">
        <v>12</v>
      </c>
      <c r="E1225" s="3">
        <v>12</v>
      </c>
      <c r="F1225" s="3">
        <v>0</v>
      </c>
      <c r="G1225" s="3">
        <v>0</v>
      </c>
    </row>
    <row r="1226" spans="1:7" x14ac:dyDescent="0.25">
      <c r="A1226" t="s">
        <v>92</v>
      </c>
      <c r="B1226" t="s">
        <v>186</v>
      </c>
      <c r="C1226">
        <v>20</v>
      </c>
      <c r="D1226">
        <v>19</v>
      </c>
      <c r="E1226">
        <v>18</v>
      </c>
      <c r="F1226">
        <v>1</v>
      </c>
      <c r="G1226">
        <v>0</v>
      </c>
    </row>
    <row r="1227" spans="1:7" x14ac:dyDescent="0.25">
      <c r="A1227" s="3" t="s">
        <v>92</v>
      </c>
      <c r="B1227" s="3" t="s">
        <v>186</v>
      </c>
      <c r="C1227" s="3">
        <v>16</v>
      </c>
      <c r="D1227" s="3">
        <v>14</v>
      </c>
      <c r="E1227" s="3">
        <v>14</v>
      </c>
      <c r="F1227" s="3">
        <v>0</v>
      </c>
      <c r="G1227" s="3">
        <v>1</v>
      </c>
    </row>
    <row r="1228" spans="1:7" x14ac:dyDescent="0.25">
      <c r="A1228" t="s">
        <v>92</v>
      </c>
      <c r="B1228" t="s">
        <v>187</v>
      </c>
      <c r="C1228">
        <f>24+2</f>
        <v>26</v>
      </c>
      <c r="D1228">
        <f>24+2</f>
        <v>26</v>
      </c>
      <c r="E1228">
        <f>23+2</f>
        <v>25</v>
      </c>
      <c r="F1228">
        <v>1</v>
      </c>
      <c r="G1228">
        <v>0</v>
      </c>
    </row>
    <row r="1229" spans="1:7" x14ac:dyDescent="0.25">
      <c r="A1229" s="3" t="s">
        <v>92</v>
      </c>
      <c r="B1229" s="3" t="s">
        <v>187</v>
      </c>
      <c r="C1229" s="3">
        <v>38</v>
      </c>
      <c r="D1229" s="3">
        <v>38</v>
      </c>
      <c r="E1229" s="3">
        <v>36</v>
      </c>
      <c r="F1229" s="3">
        <v>2</v>
      </c>
      <c r="G1229" s="3">
        <v>0</v>
      </c>
    </row>
    <row r="1230" spans="1:7" x14ac:dyDescent="0.25">
      <c r="A1230" t="s">
        <v>92</v>
      </c>
      <c r="B1230" t="s">
        <v>6</v>
      </c>
      <c r="C1230">
        <v>4</v>
      </c>
      <c r="D1230">
        <v>4</v>
      </c>
      <c r="E1230">
        <v>4</v>
      </c>
      <c r="F1230">
        <v>0</v>
      </c>
      <c r="G1230">
        <v>0</v>
      </c>
    </row>
    <row r="1231" spans="1:7" x14ac:dyDescent="0.25">
      <c r="A1231" s="3" t="s">
        <v>92</v>
      </c>
      <c r="B1231" s="3" t="s">
        <v>6</v>
      </c>
      <c r="C1231" s="3">
        <v>1</v>
      </c>
      <c r="D1231" s="3">
        <v>1</v>
      </c>
      <c r="E1231" s="3">
        <v>1</v>
      </c>
      <c r="F1231" s="3">
        <v>0</v>
      </c>
      <c r="G1231" s="3">
        <v>0</v>
      </c>
    </row>
    <row r="1232" spans="1:7" x14ac:dyDescent="0.25">
      <c r="A1232" t="s">
        <v>92</v>
      </c>
      <c r="B1232" t="s">
        <v>7</v>
      </c>
      <c r="C1232">
        <v>1</v>
      </c>
      <c r="D1232">
        <v>1</v>
      </c>
      <c r="E1232">
        <v>1</v>
      </c>
      <c r="F1232">
        <v>0</v>
      </c>
      <c r="G1232">
        <v>0</v>
      </c>
    </row>
    <row r="1233" spans="1:7" x14ac:dyDescent="0.25">
      <c r="A1233" t="s">
        <v>92</v>
      </c>
      <c r="B1233" t="s">
        <v>8</v>
      </c>
      <c r="C1233">
        <v>9</v>
      </c>
      <c r="D1233">
        <v>9</v>
      </c>
      <c r="E1233">
        <v>9</v>
      </c>
      <c r="F1233">
        <v>0</v>
      </c>
      <c r="G1233">
        <v>0</v>
      </c>
    </row>
    <row r="1234" spans="1:7" x14ac:dyDescent="0.25">
      <c r="A1234" s="3" t="s">
        <v>92</v>
      </c>
      <c r="B1234" s="3" t="s">
        <v>8</v>
      </c>
      <c r="C1234" s="3">
        <v>1</v>
      </c>
      <c r="D1234" s="3">
        <v>1</v>
      </c>
      <c r="E1234" s="3">
        <v>1</v>
      </c>
      <c r="F1234" s="3">
        <v>0</v>
      </c>
      <c r="G1234" s="3">
        <v>0</v>
      </c>
    </row>
    <row r="1235" spans="1:7" x14ac:dyDescent="0.25">
      <c r="A1235" t="s">
        <v>92</v>
      </c>
      <c r="B1235" t="s">
        <v>9</v>
      </c>
      <c r="C1235">
        <v>7</v>
      </c>
      <c r="D1235">
        <v>7</v>
      </c>
      <c r="E1235">
        <v>7</v>
      </c>
      <c r="F1235">
        <v>0</v>
      </c>
      <c r="G1235">
        <v>0</v>
      </c>
    </row>
    <row r="1236" spans="1:7" x14ac:dyDescent="0.25">
      <c r="A1236" t="s">
        <v>92</v>
      </c>
      <c r="B1236" t="s">
        <v>10</v>
      </c>
      <c r="C1236">
        <v>34</v>
      </c>
      <c r="D1236">
        <v>34</v>
      </c>
      <c r="E1236">
        <v>34</v>
      </c>
      <c r="F1236">
        <v>0</v>
      </c>
      <c r="G1236">
        <v>0</v>
      </c>
    </row>
    <row r="1237" spans="1:7" x14ac:dyDescent="0.25">
      <c r="A1237" s="3" t="s">
        <v>92</v>
      </c>
      <c r="B1237" s="3" t="s">
        <v>10</v>
      </c>
      <c r="C1237" s="3">
        <v>28</v>
      </c>
      <c r="D1237" s="3">
        <v>28</v>
      </c>
      <c r="E1237" s="3">
        <v>27</v>
      </c>
      <c r="F1237" s="3">
        <v>1</v>
      </c>
      <c r="G1237" s="3">
        <v>0</v>
      </c>
    </row>
    <row r="1238" spans="1:7" x14ac:dyDescent="0.25">
      <c r="A1238" t="s">
        <v>92</v>
      </c>
      <c r="B1238" t="s">
        <v>177</v>
      </c>
      <c r="C1238">
        <v>2</v>
      </c>
      <c r="D1238">
        <v>2</v>
      </c>
      <c r="E1238">
        <v>2</v>
      </c>
      <c r="F1238">
        <v>0</v>
      </c>
      <c r="G1238">
        <v>0</v>
      </c>
    </row>
    <row r="1239" spans="1:7" x14ac:dyDescent="0.25">
      <c r="A1239" s="3" t="s">
        <v>92</v>
      </c>
      <c r="B1239" s="3" t="s">
        <v>177</v>
      </c>
      <c r="C1239" s="3">
        <v>1</v>
      </c>
      <c r="D1239" s="3">
        <v>1</v>
      </c>
      <c r="E1239" s="3">
        <v>1</v>
      </c>
      <c r="F1239" s="3">
        <v>0</v>
      </c>
      <c r="G1239" s="3">
        <v>0</v>
      </c>
    </row>
    <row r="1240" spans="1:7" x14ac:dyDescent="0.25">
      <c r="A1240" t="s">
        <v>57</v>
      </c>
      <c r="B1240" t="s">
        <v>2</v>
      </c>
      <c r="C1240">
        <v>2</v>
      </c>
      <c r="D1240">
        <v>2</v>
      </c>
      <c r="E1240">
        <v>2</v>
      </c>
      <c r="F1240">
        <v>0</v>
      </c>
      <c r="G1240">
        <v>0</v>
      </c>
    </row>
    <row r="1241" spans="1:7" x14ac:dyDescent="0.25">
      <c r="A1241" t="s">
        <v>57</v>
      </c>
      <c r="B1241" t="s">
        <v>4</v>
      </c>
      <c r="C1241">
        <v>1</v>
      </c>
      <c r="D1241">
        <v>0</v>
      </c>
      <c r="E1241">
        <v>0</v>
      </c>
      <c r="F1241">
        <v>0</v>
      </c>
      <c r="G1241">
        <v>0</v>
      </c>
    </row>
    <row r="1242" spans="1:7" x14ac:dyDescent="0.25">
      <c r="A1242" t="s">
        <v>57</v>
      </c>
      <c r="B1242" t="s">
        <v>5</v>
      </c>
      <c r="C1242">
        <v>1</v>
      </c>
      <c r="D1242">
        <v>1</v>
      </c>
      <c r="E1242">
        <v>1</v>
      </c>
      <c r="F1242">
        <v>0</v>
      </c>
      <c r="G1242">
        <v>0</v>
      </c>
    </row>
    <row r="1243" spans="1:7" x14ac:dyDescent="0.25">
      <c r="A1243" t="s">
        <v>57</v>
      </c>
      <c r="B1243" t="s">
        <v>185</v>
      </c>
      <c r="C1243">
        <f>9+2</f>
        <v>11</v>
      </c>
      <c r="D1243">
        <f>8+2</f>
        <v>10</v>
      </c>
      <c r="E1243">
        <f>8+1</f>
        <v>9</v>
      </c>
      <c r="F1243">
        <v>1</v>
      </c>
      <c r="G1243">
        <v>1</v>
      </c>
    </row>
    <row r="1244" spans="1:7" x14ac:dyDescent="0.25">
      <c r="A1244" s="3" t="s">
        <v>57</v>
      </c>
      <c r="B1244" s="3" t="s">
        <v>185</v>
      </c>
      <c r="C1244" s="3">
        <v>3</v>
      </c>
      <c r="D1244" s="3">
        <v>3</v>
      </c>
      <c r="E1244" s="3">
        <v>3</v>
      </c>
      <c r="F1244" s="3">
        <v>0</v>
      </c>
      <c r="G1244" s="3">
        <v>0</v>
      </c>
    </row>
    <row r="1245" spans="1:7" x14ac:dyDescent="0.25">
      <c r="A1245" t="s">
        <v>57</v>
      </c>
      <c r="B1245" t="s">
        <v>186</v>
      </c>
      <c r="C1245">
        <f>7+1</f>
        <v>8</v>
      </c>
      <c r="D1245">
        <f>7+1</f>
        <v>8</v>
      </c>
      <c r="E1245">
        <f>7+1</f>
        <v>8</v>
      </c>
      <c r="F1245">
        <v>0</v>
      </c>
      <c r="G1245">
        <v>0</v>
      </c>
    </row>
    <row r="1246" spans="1:7" x14ac:dyDescent="0.25">
      <c r="A1246" s="3" t="s">
        <v>57</v>
      </c>
      <c r="B1246" s="3" t="s">
        <v>186</v>
      </c>
      <c r="C1246" s="3">
        <v>7</v>
      </c>
      <c r="D1246" s="3">
        <v>6</v>
      </c>
      <c r="E1246" s="3">
        <v>6</v>
      </c>
      <c r="F1246" s="3">
        <v>0</v>
      </c>
      <c r="G1246" s="3">
        <v>1</v>
      </c>
    </row>
    <row r="1247" spans="1:7" x14ac:dyDescent="0.25">
      <c r="A1247" t="s">
        <v>57</v>
      </c>
      <c r="B1247" t="s">
        <v>187</v>
      </c>
      <c r="C1247">
        <v>29</v>
      </c>
      <c r="D1247">
        <v>29</v>
      </c>
      <c r="E1247">
        <v>29</v>
      </c>
      <c r="F1247">
        <v>0</v>
      </c>
      <c r="G1247">
        <v>0</v>
      </c>
    </row>
    <row r="1248" spans="1:7" x14ac:dyDescent="0.25">
      <c r="A1248" s="3" t="s">
        <v>57</v>
      </c>
      <c r="B1248" s="3" t="s">
        <v>187</v>
      </c>
      <c r="C1248" s="3">
        <v>11</v>
      </c>
      <c r="D1248" s="3">
        <v>11</v>
      </c>
      <c r="E1248" s="3">
        <v>11</v>
      </c>
      <c r="F1248" s="3">
        <v>0</v>
      </c>
      <c r="G1248" s="3">
        <v>0</v>
      </c>
    </row>
    <row r="1249" spans="1:7" x14ac:dyDescent="0.25">
      <c r="A1249" t="s">
        <v>57</v>
      </c>
      <c r="B1249" t="s">
        <v>6</v>
      </c>
      <c r="C1249">
        <v>7</v>
      </c>
      <c r="D1249">
        <v>7</v>
      </c>
      <c r="E1249">
        <v>7</v>
      </c>
      <c r="F1249">
        <v>0</v>
      </c>
      <c r="G1249">
        <v>0</v>
      </c>
    </row>
    <row r="1250" spans="1:7" x14ac:dyDescent="0.25">
      <c r="A1250" s="3" t="s">
        <v>57</v>
      </c>
      <c r="B1250" s="3" t="s">
        <v>6</v>
      </c>
      <c r="C1250" s="3">
        <v>2</v>
      </c>
      <c r="D1250" s="3">
        <v>2</v>
      </c>
      <c r="E1250" s="3">
        <v>2</v>
      </c>
      <c r="F1250" s="3">
        <v>0</v>
      </c>
      <c r="G1250" s="3">
        <v>0</v>
      </c>
    </row>
    <row r="1251" spans="1:7" x14ac:dyDescent="0.25">
      <c r="A1251" t="s">
        <v>57</v>
      </c>
      <c r="B1251" t="s">
        <v>8</v>
      </c>
      <c r="C1251">
        <v>5</v>
      </c>
      <c r="D1251">
        <v>5</v>
      </c>
      <c r="E1251">
        <v>5</v>
      </c>
      <c r="F1251">
        <v>0</v>
      </c>
      <c r="G1251">
        <v>0</v>
      </c>
    </row>
    <row r="1252" spans="1:7" x14ac:dyDescent="0.25">
      <c r="A1252" s="3" t="s">
        <v>57</v>
      </c>
      <c r="B1252" s="3" t="s">
        <v>8</v>
      </c>
      <c r="C1252" s="3">
        <v>1</v>
      </c>
      <c r="D1252" s="3">
        <v>1</v>
      </c>
      <c r="E1252" s="3">
        <v>1</v>
      </c>
      <c r="F1252" s="3">
        <v>0</v>
      </c>
      <c r="G1252" s="3">
        <v>0</v>
      </c>
    </row>
    <row r="1253" spans="1:7" x14ac:dyDescent="0.25">
      <c r="A1253" t="s">
        <v>57</v>
      </c>
      <c r="B1253" t="s">
        <v>9</v>
      </c>
      <c r="C1253">
        <v>1</v>
      </c>
      <c r="D1253">
        <v>1</v>
      </c>
      <c r="E1253">
        <v>1</v>
      </c>
      <c r="F1253">
        <v>0</v>
      </c>
      <c r="G1253">
        <v>0</v>
      </c>
    </row>
    <row r="1254" spans="1:7" x14ac:dyDescent="0.25">
      <c r="A1254" s="3" t="s">
        <v>57</v>
      </c>
      <c r="B1254" s="3" t="s">
        <v>9</v>
      </c>
      <c r="C1254" s="3">
        <v>1</v>
      </c>
      <c r="D1254" s="3">
        <v>1</v>
      </c>
      <c r="E1254" s="3">
        <v>1</v>
      </c>
      <c r="F1254" s="3">
        <v>0</v>
      </c>
      <c r="G1254" s="3">
        <v>0</v>
      </c>
    </row>
    <row r="1255" spans="1:7" x14ac:dyDescent="0.25">
      <c r="A1255" t="s">
        <v>57</v>
      </c>
      <c r="B1255" t="s">
        <v>10</v>
      </c>
      <c r="C1255">
        <v>29</v>
      </c>
      <c r="D1255">
        <v>29</v>
      </c>
      <c r="E1255">
        <v>28</v>
      </c>
      <c r="F1255">
        <v>1</v>
      </c>
      <c r="G1255">
        <v>0</v>
      </c>
    </row>
    <row r="1256" spans="1:7" x14ac:dyDescent="0.25">
      <c r="A1256" s="3" t="s">
        <v>57</v>
      </c>
      <c r="B1256" s="3" t="s">
        <v>10</v>
      </c>
      <c r="C1256" s="3">
        <v>11</v>
      </c>
      <c r="D1256" s="3">
        <v>11</v>
      </c>
      <c r="E1256" s="3">
        <v>11</v>
      </c>
      <c r="F1256" s="3">
        <v>0</v>
      </c>
      <c r="G1256" s="3">
        <v>0</v>
      </c>
    </row>
    <row r="1257" spans="1:7" x14ac:dyDescent="0.25">
      <c r="A1257" t="s">
        <v>40</v>
      </c>
      <c r="B1257" t="s">
        <v>2</v>
      </c>
      <c r="C1257">
        <v>4</v>
      </c>
      <c r="D1257">
        <v>2</v>
      </c>
      <c r="E1257">
        <v>2</v>
      </c>
      <c r="F1257">
        <v>0</v>
      </c>
      <c r="G1257">
        <v>0</v>
      </c>
    </row>
    <row r="1258" spans="1:7" x14ac:dyDescent="0.25">
      <c r="A1258" t="s">
        <v>40</v>
      </c>
      <c r="B1258" t="s">
        <v>5</v>
      </c>
      <c r="C1258">
        <v>14</v>
      </c>
      <c r="D1258">
        <v>14</v>
      </c>
      <c r="E1258">
        <v>10</v>
      </c>
      <c r="F1258">
        <v>4</v>
      </c>
      <c r="G1258">
        <v>0</v>
      </c>
    </row>
    <row r="1259" spans="1:7" x14ac:dyDescent="0.25">
      <c r="A1259" s="3" t="s">
        <v>40</v>
      </c>
      <c r="B1259" s="3" t="s">
        <v>5</v>
      </c>
      <c r="C1259" s="3">
        <v>14</v>
      </c>
      <c r="D1259" s="3">
        <v>14</v>
      </c>
      <c r="E1259" s="3">
        <f>10+4</f>
        <v>14</v>
      </c>
      <c r="F1259" s="3">
        <f>4-4+0</f>
        <v>0</v>
      </c>
      <c r="G1259" s="3">
        <v>0</v>
      </c>
    </row>
    <row r="1260" spans="1:7" x14ac:dyDescent="0.25">
      <c r="A1260" t="s">
        <v>40</v>
      </c>
      <c r="B1260" t="s">
        <v>185</v>
      </c>
      <c r="C1260">
        <f>19+4</f>
        <v>23</v>
      </c>
      <c r="D1260">
        <f>16+4</f>
        <v>20</v>
      </c>
      <c r="E1260">
        <f>16+4</f>
        <v>20</v>
      </c>
      <c r="F1260">
        <v>0</v>
      </c>
      <c r="G1260">
        <v>0</v>
      </c>
    </row>
    <row r="1261" spans="1:7" x14ac:dyDescent="0.25">
      <c r="A1261" s="3" t="s">
        <v>40</v>
      </c>
      <c r="B1261" s="3" t="s">
        <v>185</v>
      </c>
      <c r="C1261" s="3">
        <v>12</v>
      </c>
      <c r="D1261" s="3">
        <v>12</v>
      </c>
      <c r="E1261" s="3">
        <v>12</v>
      </c>
      <c r="F1261" s="3">
        <v>0</v>
      </c>
      <c r="G1261" s="3">
        <v>0</v>
      </c>
    </row>
    <row r="1262" spans="1:7" x14ac:dyDescent="0.25">
      <c r="A1262" t="s">
        <v>40</v>
      </c>
      <c r="B1262" t="s">
        <v>186</v>
      </c>
      <c r="C1262">
        <f>29+3</f>
        <v>32</v>
      </c>
      <c r="D1262">
        <f>25+3</f>
        <v>28</v>
      </c>
      <c r="E1262">
        <f>24+3</f>
        <v>27</v>
      </c>
      <c r="F1262">
        <v>1</v>
      </c>
      <c r="G1262">
        <v>0</v>
      </c>
    </row>
    <row r="1263" spans="1:7" x14ac:dyDescent="0.25">
      <c r="A1263" s="3" t="s">
        <v>40</v>
      </c>
      <c r="B1263" s="3" t="s">
        <v>186</v>
      </c>
      <c r="C1263" s="3">
        <v>24</v>
      </c>
      <c r="D1263" s="3">
        <v>17</v>
      </c>
      <c r="E1263" s="3">
        <f>15+1</f>
        <v>16</v>
      </c>
      <c r="F1263" s="3">
        <f>2-1+0</f>
        <v>1</v>
      </c>
      <c r="G1263" s="3">
        <v>0</v>
      </c>
    </row>
    <row r="1264" spans="1:7" x14ac:dyDescent="0.25">
      <c r="A1264" t="s">
        <v>40</v>
      </c>
      <c r="B1264" t="s">
        <v>187</v>
      </c>
      <c r="C1264">
        <f>61+1</f>
        <v>62</v>
      </c>
      <c r="D1264">
        <f>49+1</f>
        <v>50</v>
      </c>
      <c r="E1264">
        <f>48+1</f>
        <v>49</v>
      </c>
      <c r="F1264">
        <v>1</v>
      </c>
      <c r="G1264">
        <v>0</v>
      </c>
    </row>
    <row r="1265" spans="1:7" x14ac:dyDescent="0.25">
      <c r="A1265" s="3" t="s">
        <v>40</v>
      </c>
      <c r="B1265" s="3" t="s">
        <v>187</v>
      </c>
      <c r="C1265" s="3">
        <v>27</v>
      </c>
      <c r="D1265" s="3">
        <v>27</v>
      </c>
      <c r="E1265" s="3">
        <f>24+2</f>
        <v>26</v>
      </c>
      <c r="F1265" s="3">
        <f>3-2+0</f>
        <v>1</v>
      </c>
      <c r="G1265" s="3">
        <v>0</v>
      </c>
    </row>
    <row r="1266" spans="1:7" x14ac:dyDescent="0.25">
      <c r="A1266" t="s">
        <v>40</v>
      </c>
      <c r="B1266" t="s">
        <v>6</v>
      </c>
      <c r="C1266">
        <v>8</v>
      </c>
      <c r="D1266">
        <v>7</v>
      </c>
      <c r="E1266">
        <v>7</v>
      </c>
      <c r="F1266">
        <v>0</v>
      </c>
      <c r="G1266">
        <v>0</v>
      </c>
    </row>
    <row r="1267" spans="1:7" x14ac:dyDescent="0.25">
      <c r="A1267" s="3" t="s">
        <v>40</v>
      </c>
      <c r="B1267" s="3" t="s">
        <v>6</v>
      </c>
      <c r="C1267" s="3">
        <v>8</v>
      </c>
      <c r="D1267" s="3">
        <v>8</v>
      </c>
      <c r="E1267" s="3">
        <v>8</v>
      </c>
      <c r="F1267" s="3">
        <v>0</v>
      </c>
      <c r="G1267" s="3">
        <v>0</v>
      </c>
    </row>
    <row r="1268" spans="1:7" x14ac:dyDescent="0.25">
      <c r="A1268" t="s">
        <v>40</v>
      </c>
      <c r="B1268" t="s">
        <v>7</v>
      </c>
      <c r="C1268">
        <v>3</v>
      </c>
      <c r="D1268">
        <v>3</v>
      </c>
      <c r="E1268">
        <v>3</v>
      </c>
      <c r="F1268">
        <v>0</v>
      </c>
      <c r="G1268">
        <v>0</v>
      </c>
    </row>
    <row r="1269" spans="1:7" x14ac:dyDescent="0.25">
      <c r="A1269" s="3" t="s">
        <v>40</v>
      </c>
      <c r="B1269" s="3" t="s">
        <v>7</v>
      </c>
      <c r="C1269" s="3">
        <v>1</v>
      </c>
      <c r="D1269" s="3">
        <v>1</v>
      </c>
      <c r="E1269" s="3">
        <v>1</v>
      </c>
      <c r="F1269" s="3">
        <v>0</v>
      </c>
      <c r="G1269" s="3">
        <v>0</v>
      </c>
    </row>
    <row r="1270" spans="1:7" x14ac:dyDescent="0.25">
      <c r="A1270" t="s">
        <v>40</v>
      </c>
      <c r="B1270" t="s">
        <v>8</v>
      </c>
      <c r="C1270">
        <v>10</v>
      </c>
      <c r="D1270">
        <v>8</v>
      </c>
      <c r="E1270">
        <v>8</v>
      </c>
      <c r="F1270">
        <v>0</v>
      </c>
      <c r="G1270">
        <v>0</v>
      </c>
    </row>
    <row r="1271" spans="1:7" x14ac:dyDescent="0.25">
      <c r="A1271" s="3" t="s">
        <v>40</v>
      </c>
      <c r="B1271" s="3" t="s">
        <v>8</v>
      </c>
      <c r="C1271" s="3">
        <v>3</v>
      </c>
      <c r="D1271" s="3">
        <v>3</v>
      </c>
      <c r="E1271" s="3">
        <v>3</v>
      </c>
      <c r="F1271" s="3">
        <v>0</v>
      </c>
      <c r="G1271" s="3">
        <v>0</v>
      </c>
    </row>
    <row r="1272" spans="1:7" x14ac:dyDescent="0.25">
      <c r="A1272" t="s">
        <v>40</v>
      </c>
      <c r="B1272" t="s">
        <v>9</v>
      </c>
      <c r="C1272">
        <v>8</v>
      </c>
      <c r="D1272">
        <v>6</v>
      </c>
      <c r="E1272">
        <v>6</v>
      </c>
      <c r="F1272">
        <v>0</v>
      </c>
      <c r="G1272">
        <v>0</v>
      </c>
    </row>
    <row r="1273" spans="1:7" x14ac:dyDescent="0.25">
      <c r="A1273" s="3" t="s">
        <v>40</v>
      </c>
      <c r="B1273" s="3" t="s">
        <v>9</v>
      </c>
      <c r="C1273" s="3">
        <v>3</v>
      </c>
      <c r="D1273" s="3">
        <v>3</v>
      </c>
      <c r="E1273" s="3">
        <v>3</v>
      </c>
      <c r="F1273" s="3">
        <v>0</v>
      </c>
      <c r="G1273" s="3">
        <v>0</v>
      </c>
    </row>
    <row r="1274" spans="1:7" x14ac:dyDescent="0.25">
      <c r="A1274" t="s">
        <v>40</v>
      </c>
      <c r="B1274" t="s">
        <v>10</v>
      </c>
      <c r="C1274">
        <v>24</v>
      </c>
      <c r="D1274">
        <v>23</v>
      </c>
      <c r="E1274">
        <v>23</v>
      </c>
      <c r="F1274">
        <v>0</v>
      </c>
      <c r="G1274">
        <v>0</v>
      </c>
    </row>
    <row r="1275" spans="1:7" x14ac:dyDescent="0.25">
      <c r="A1275" s="3" t="s">
        <v>40</v>
      </c>
      <c r="B1275" s="3" t="s">
        <v>10</v>
      </c>
      <c r="C1275" s="3">
        <v>21</v>
      </c>
      <c r="D1275" s="3">
        <v>21</v>
      </c>
      <c r="E1275" s="3">
        <v>19</v>
      </c>
      <c r="F1275" s="3">
        <v>2</v>
      </c>
      <c r="G1275" s="3">
        <v>0</v>
      </c>
    </row>
    <row r="1276" spans="1:7" x14ac:dyDescent="0.25">
      <c r="A1276" t="s">
        <v>40</v>
      </c>
      <c r="B1276" t="s">
        <v>177</v>
      </c>
      <c r="C1276">
        <v>10</v>
      </c>
      <c r="D1276">
        <v>10</v>
      </c>
      <c r="E1276">
        <v>10</v>
      </c>
      <c r="F1276">
        <v>0</v>
      </c>
      <c r="G1276">
        <v>0</v>
      </c>
    </row>
    <row r="1277" spans="1:7" x14ac:dyDescent="0.25">
      <c r="A1277" s="3" t="s">
        <v>40</v>
      </c>
      <c r="B1277" s="3" t="s">
        <v>177</v>
      </c>
      <c r="C1277" s="3">
        <v>8</v>
      </c>
      <c r="D1277" s="3">
        <v>8</v>
      </c>
      <c r="E1277" s="3">
        <v>7</v>
      </c>
      <c r="F1277" s="3">
        <v>1</v>
      </c>
      <c r="G1277" s="3">
        <v>0</v>
      </c>
    </row>
    <row r="1278" spans="1:7" x14ac:dyDescent="0.25">
      <c r="A1278" t="s">
        <v>41</v>
      </c>
      <c r="B1278" t="s">
        <v>5</v>
      </c>
      <c r="C1278">
        <v>1</v>
      </c>
      <c r="D1278">
        <v>1</v>
      </c>
      <c r="E1278">
        <v>1</v>
      </c>
      <c r="F1278">
        <v>0</v>
      </c>
      <c r="G1278">
        <v>0</v>
      </c>
    </row>
    <row r="1279" spans="1:7" x14ac:dyDescent="0.25">
      <c r="A1279" t="s">
        <v>41</v>
      </c>
      <c r="B1279" t="s">
        <v>185</v>
      </c>
      <c r="C1279">
        <v>4</v>
      </c>
      <c r="D1279">
        <v>4</v>
      </c>
      <c r="E1279">
        <v>2</v>
      </c>
      <c r="F1279">
        <v>2</v>
      </c>
      <c r="G1279">
        <v>0</v>
      </c>
    </row>
    <row r="1280" spans="1:7" x14ac:dyDescent="0.25">
      <c r="A1280" s="3" t="s">
        <v>41</v>
      </c>
      <c r="B1280" s="3" t="s">
        <v>185</v>
      </c>
      <c r="C1280" s="3">
        <v>5</v>
      </c>
      <c r="D1280" s="3">
        <v>5</v>
      </c>
      <c r="E1280" s="3">
        <v>5</v>
      </c>
      <c r="F1280" s="3">
        <v>0</v>
      </c>
      <c r="G1280" s="3">
        <v>0</v>
      </c>
    </row>
    <row r="1281" spans="1:7" x14ac:dyDescent="0.25">
      <c r="A1281" t="s">
        <v>41</v>
      </c>
      <c r="B1281" t="s">
        <v>186</v>
      </c>
      <c r="C1281">
        <v>16</v>
      </c>
      <c r="D1281">
        <v>15</v>
      </c>
      <c r="E1281">
        <f>9+5</f>
        <v>14</v>
      </c>
      <c r="F1281">
        <f>6-5+0</f>
        <v>1</v>
      </c>
      <c r="G1281">
        <v>0</v>
      </c>
    </row>
    <row r="1282" spans="1:7" x14ac:dyDescent="0.25">
      <c r="A1282" s="3" t="s">
        <v>41</v>
      </c>
      <c r="B1282" s="3" t="s">
        <v>186</v>
      </c>
      <c r="C1282" s="3">
        <v>8</v>
      </c>
      <c r="D1282" s="3">
        <v>8</v>
      </c>
      <c r="E1282" s="3">
        <v>7</v>
      </c>
      <c r="F1282" s="3">
        <v>1</v>
      </c>
      <c r="G1282" s="3">
        <v>0</v>
      </c>
    </row>
    <row r="1283" spans="1:7" x14ac:dyDescent="0.25">
      <c r="A1283" t="s">
        <v>41</v>
      </c>
      <c r="B1283" t="s">
        <v>187</v>
      </c>
      <c r="C1283">
        <v>32</v>
      </c>
      <c r="D1283">
        <v>32</v>
      </c>
      <c r="E1283">
        <f>18+11</f>
        <v>29</v>
      </c>
      <c r="F1283">
        <f>14-13+2</f>
        <v>3</v>
      </c>
      <c r="G1283">
        <v>0</v>
      </c>
    </row>
    <row r="1284" spans="1:7" x14ac:dyDescent="0.25">
      <c r="A1284" s="3" t="s">
        <v>41</v>
      </c>
      <c r="B1284" s="3" t="s">
        <v>187</v>
      </c>
      <c r="C1284" s="3">
        <v>11</v>
      </c>
      <c r="D1284" s="3">
        <v>11</v>
      </c>
      <c r="E1284" s="3">
        <v>9</v>
      </c>
      <c r="F1284" s="3">
        <v>2</v>
      </c>
      <c r="G1284" s="3">
        <v>0</v>
      </c>
    </row>
    <row r="1285" spans="1:7" x14ac:dyDescent="0.25">
      <c r="A1285" t="s">
        <v>41</v>
      </c>
      <c r="B1285" t="s">
        <v>6</v>
      </c>
      <c r="C1285">
        <v>11</v>
      </c>
      <c r="D1285">
        <v>11</v>
      </c>
      <c r="E1285">
        <v>11</v>
      </c>
      <c r="F1285">
        <v>0</v>
      </c>
      <c r="G1285">
        <v>0</v>
      </c>
    </row>
    <row r="1286" spans="1:7" x14ac:dyDescent="0.25">
      <c r="A1286" s="3" t="s">
        <v>41</v>
      </c>
      <c r="B1286" s="3" t="s">
        <v>6</v>
      </c>
      <c r="C1286" s="3">
        <v>3</v>
      </c>
      <c r="D1286" s="3">
        <v>3</v>
      </c>
      <c r="E1286" s="3">
        <v>3</v>
      </c>
      <c r="F1286" s="3">
        <v>0</v>
      </c>
      <c r="G1286" s="3">
        <v>0</v>
      </c>
    </row>
    <row r="1287" spans="1:7" x14ac:dyDescent="0.25">
      <c r="A1287" t="s">
        <v>41</v>
      </c>
      <c r="B1287" t="s">
        <v>8</v>
      </c>
      <c r="C1287">
        <v>2</v>
      </c>
      <c r="D1287">
        <v>2</v>
      </c>
      <c r="E1287">
        <v>1</v>
      </c>
      <c r="F1287">
        <v>1</v>
      </c>
      <c r="G1287">
        <v>0</v>
      </c>
    </row>
    <row r="1288" spans="1:7" x14ac:dyDescent="0.25">
      <c r="A1288" t="s">
        <v>41</v>
      </c>
      <c r="B1288" t="s">
        <v>10</v>
      </c>
      <c r="C1288">
        <v>11</v>
      </c>
      <c r="D1288">
        <v>11</v>
      </c>
      <c r="E1288">
        <v>9</v>
      </c>
      <c r="F1288">
        <v>2</v>
      </c>
      <c r="G1288">
        <v>0</v>
      </c>
    </row>
    <row r="1289" spans="1:7" x14ac:dyDescent="0.25">
      <c r="A1289" s="3" t="s">
        <v>41</v>
      </c>
      <c r="B1289" s="3" t="s">
        <v>10</v>
      </c>
      <c r="C1289" s="3">
        <v>14</v>
      </c>
      <c r="D1289" s="3">
        <v>14</v>
      </c>
      <c r="E1289" s="3">
        <v>12</v>
      </c>
      <c r="F1289" s="3">
        <v>2</v>
      </c>
      <c r="G1289" s="3">
        <v>0</v>
      </c>
    </row>
    <row r="1290" spans="1:7" x14ac:dyDescent="0.25">
      <c r="A1290" t="s">
        <v>102</v>
      </c>
      <c r="B1290" t="s">
        <v>2</v>
      </c>
      <c r="C1290">
        <v>4</v>
      </c>
      <c r="D1290">
        <v>3</v>
      </c>
      <c r="E1290">
        <v>3</v>
      </c>
      <c r="F1290">
        <v>0</v>
      </c>
      <c r="G1290">
        <v>0</v>
      </c>
    </row>
    <row r="1291" spans="1:7" x14ac:dyDescent="0.25">
      <c r="A1291" s="3" t="s">
        <v>102</v>
      </c>
      <c r="B1291" s="3" t="s">
        <v>2</v>
      </c>
      <c r="C1291" s="3">
        <v>4</v>
      </c>
      <c r="D1291" s="3">
        <v>3</v>
      </c>
      <c r="E1291" s="3">
        <v>3</v>
      </c>
      <c r="F1291" s="3">
        <v>0</v>
      </c>
      <c r="G1291" s="3">
        <v>0</v>
      </c>
    </row>
    <row r="1292" spans="1:7" x14ac:dyDescent="0.25">
      <c r="A1292" t="s">
        <v>102</v>
      </c>
      <c r="B1292" t="s">
        <v>5</v>
      </c>
      <c r="C1292">
        <v>21</v>
      </c>
      <c r="D1292">
        <v>21</v>
      </c>
      <c r="E1292">
        <v>18</v>
      </c>
      <c r="F1292">
        <v>3</v>
      </c>
      <c r="G1292">
        <v>0</v>
      </c>
    </row>
    <row r="1293" spans="1:7" x14ac:dyDescent="0.25">
      <c r="A1293" s="3" t="s">
        <v>102</v>
      </c>
      <c r="B1293" s="3" t="s">
        <v>5</v>
      </c>
      <c r="C1293" s="3">
        <v>9</v>
      </c>
      <c r="D1293" s="3">
        <v>9</v>
      </c>
      <c r="E1293" s="3">
        <v>8</v>
      </c>
      <c r="F1293" s="3">
        <v>1</v>
      </c>
      <c r="G1293" s="3">
        <v>0</v>
      </c>
    </row>
    <row r="1294" spans="1:7" x14ac:dyDescent="0.25">
      <c r="A1294" t="s">
        <v>102</v>
      </c>
      <c r="B1294" t="s">
        <v>185</v>
      </c>
      <c r="C1294">
        <v>29</v>
      </c>
      <c r="D1294">
        <v>28</v>
      </c>
      <c r="E1294">
        <f>21+3</f>
        <v>24</v>
      </c>
      <c r="F1294">
        <f>7-5+2</f>
        <v>4</v>
      </c>
      <c r="G1294">
        <v>0</v>
      </c>
    </row>
    <row r="1295" spans="1:7" x14ac:dyDescent="0.25">
      <c r="A1295" s="3" t="s">
        <v>102</v>
      </c>
      <c r="B1295" s="3" t="s">
        <v>185</v>
      </c>
      <c r="C1295" s="3">
        <v>21</v>
      </c>
      <c r="D1295" s="3">
        <v>20</v>
      </c>
      <c r="E1295" s="3">
        <v>16</v>
      </c>
      <c r="F1295" s="3">
        <v>4</v>
      </c>
      <c r="G1295" s="3">
        <v>0</v>
      </c>
    </row>
    <row r="1296" spans="1:7" x14ac:dyDescent="0.25">
      <c r="A1296" t="s">
        <v>102</v>
      </c>
      <c r="B1296" t="s">
        <v>186</v>
      </c>
      <c r="C1296">
        <f>72+2</f>
        <v>74</v>
      </c>
      <c r="D1296">
        <f>70+2</f>
        <v>72</v>
      </c>
      <c r="E1296">
        <f>58+8</f>
        <v>66</v>
      </c>
      <c r="F1296">
        <f>14-9+1</f>
        <v>6</v>
      </c>
      <c r="G1296">
        <v>0</v>
      </c>
    </row>
    <row r="1297" spans="1:7" x14ac:dyDescent="0.25">
      <c r="A1297" s="3" t="s">
        <v>102</v>
      </c>
      <c r="B1297" s="3" t="s">
        <v>186</v>
      </c>
      <c r="C1297" s="3">
        <v>39</v>
      </c>
      <c r="D1297" s="3">
        <v>39</v>
      </c>
      <c r="E1297" s="3">
        <v>31</v>
      </c>
      <c r="F1297" s="3">
        <v>8</v>
      </c>
      <c r="G1297" s="3">
        <v>0</v>
      </c>
    </row>
    <row r="1298" spans="1:7" x14ac:dyDescent="0.25">
      <c r="A1298" t="s">
        <v>102</v>
      </c>
      <c r="B1298" t="s">
        <v>187</v>
      </c>
      <c r="C1298">
        <v>38</v>
      </c>
      <c r="D1298">
        <v>38</v>
      </c>
      <c r="E1298">
        <v>34</v>
      </c>
      <c r="F1298">
        <v>4</v>
      </c>
      <c r="G1298">
        <v>0</v>
      </c>
    </row>
    <row r="1299" spans="1:7" x14ac:dyDescent="0.25">
      <c r="A1299" s="3" t="s">
        <v>102</v>
      </c>
      <c r="B1299" s="3" t="s">
        <v>187</v>
      </c>
      <c r="C1299" s="3">
        <v>17</v>
      </c>
      <c r="D1299" s="3">
        <v>16</v>
      </c>
      <c r="E1299" s="3">
        <f>14+1</f>
        <v>15</v>
      </c>
      <c r="F1299" s="3">
        <f>2-1+0</f>
        <v>1</v>
      </c>
      <c r="G1299" s="3">
        <v>0</v>
      </c>
    </row>
    <row r="1300" spans="1:7" x14ac:dyDescent="0.25">
      <c r="A1300" t="s">
        <v>102</v>
      </c>
      <c r="B1300" t="s">
        <v>6</v>
      </c>
      <c r="C1300">
        <v>18</v>
      </c>
      <c r="D1300">
        <v>18</v>
      </c>
      <c r="E1300">
        <v>18</v>
      </c>
      <c r="F1300">
        <v>0</v>
      </c>
      <c r="G1300">
        <v>0</v>
      </c>
    </row>
    <row r="1301" spans="1:7" x14ac:dyDescent="0.25">
      <c r="A1301" s="3" t="s">
        <v>102</v>
      </c>
      <c r="B1301" s="3" t="s">
        <v>6</v>
      </c>
      <c r="C1301" s="3">
        <v>4</v>
      </c>
      <c r="D1301" s="3">
        <v>4</v>
      </c>
      <c r="E1301" s="3">
        <v>4</v>
      </c>
      <c r="F1301" s="3">
        <v>0</v>
      </c>
      <c r="G1301" s="3">
        <v>0</v>
      </c>
    </row>
    <row r="1302" spans="1:7" x14ac:dyDescent="0.25">
      <c r="A1302" t="s">
        <v>102</v>
      </c>
      <c r="B1302" t="s">
        <v>8</v>
      </c>
      <c r="C1302">
        <v>5</v>
      </c>
      <c r="D1302">
        <v>5</v>
      </c>
      <c r="E1302">
        <v>5</v>
      </c>
      <c r="F1302">
        <v>0</v>
      </c>
      <c r="G1302">
        <v>0</v>
      </c>
    </row>
    <row r="1303" spans="1:7" x14ac:dyDescent="0.25">
      <c r="A1303" t="s">
        <v>102</v>
      </c>
      <c r="B1303" t="s">
        <v>9</v>
      </c>
      <c r="C1303">
        <v>1</v>
      </c>
      <c r="D1303">
        <v>1</v>
      </c>
      <c r="E1303">
        <v>1</v>
      </c>
      <c r="F1303">
        <v>0</v>
      </c>
      <c r="G1303">
        <v>0</v>
      </c>
    </row>
    <row r="1304" spans="1:7" x14ac:dyDescent="0.25">
      <c r="A1304" t="s">
        <v>102</v>
      </c>
      <c r="B1304" t="s">
        <v>10</v>
      </c>
      <c r="C1304">
        <v>47</v>
      </c>
      <c r="D1304">
        <v>47</v>
      </c>
      <c r="E1304">
        <v>47</v>
      </c>
      <c r="F1304">
        <v>0</v>
      </c>
      <c r="G1304">
        <v>0</v>
      </c>
    </row>
    <row r="1305" spans="1:7" x14ac:dyDescent="0.25">
      <c r="A1305" s="3" t="s">
        <v>102</v>
      </c>
      <c r="B1305" s="3" t="s">
        <v>10</v>
      </c>
      <c r="C1305" s="3">
        <v>17</v>
      </c>
      <c r="D1305" s="3">
        <v>16</v>
      </c>
      <c r="E1305" s="3">
        <v>15</v>
      </c>
      <c r="F1305" s="3">
        <v>1</v>
      </c>
      <c r="G1305" s="3">
        <v>0</v>
      </c>
    </row>
    <row r="1306" spans="1:7" x14ac:dyDescent="0.25">
      <c r="A1306" t="s">
        <v>148</v>
      </c>
      <c r="B1306" t="s">
        <v>2</v>
      </c>
      <c r="C1306">
        <v>16</v>
      </c>
      <c r="D1306">
        <v>15</v>
      </c>
      <c r="E1306">
        <f>12+1</f>
        <v>13</v>
      </c>
      <c r="F1306">
        <f>3-1+0</f>
        <v>2</v>
      </c>
      <c r="G1306">
        <v>0</v>
      </c>
    </row>
    <row r="1307" spans="1:7" x14ac:dyDescent="0.25">
      <c r="A1307" s="3" t="s">
        <v>148</v>
      </c>
      <c r="B1307" s="3" t="s">
        <v>2</v>
      </c>
      <c r="C1307" s="3">
        <v>6</v>
      </c>
      <c r="D1307" s="3">
        <v>5</v>
      </c>
      <c r="E1307" s="3">
        <v>5</v>
      </c>
      <c r="F1307" s="3">
        <v>0</v>
      </c>
      <c r="G1307" s="3">
        <v>0</v>
      </c>
    </row>
    <row r="1308" spans="1:7" x14ac:dyDescent="0.25">
      <c r="A1308" t="s">
        <v>148</v>
      </c>
      <c r="B1308" t="s">
        <v>4</v>
      </c>
      <c r="C1308">
        <v>1</v>
      </c>
      <c r="D1308">
        <v>0</v>
      </c>
      <c r="E1308">
        <v>0</v>
      </c>
      <c r="F1308">
        <v>0</v>
      </c>
      <c r="G1308">
        <v>0</v>
      </c>
    </row>
    <row r="1309" spans="1:7" x14ac:dyDescent="0.25">
      <c r="A1309" t="s">
        <v>148</v>
      </c>
      <c r="B1309" t="s">
        <v>5</v>
      </c>
      <c r="C1309">
        <v>48</v>
      </c>
      <c r="D1309">
        <v>48</v>
      </c>
      <c r="E1309">
        <f>23+16</f>
        <v>39</v>
      </c>
      <c r="F1309">
        <f>25-19+3</f>
        <v>9</v>
      </c>
      <c r="G1309">
        <v>0</v>
      </c>
    </row>
    <row r="1310" spans="1:7" x14ac:dyDescent="0.25">
      <c r="A1310" s="3" t="s">
        <v>148</v>
      </c>
      <c r="B1310" s="3" t="s">
        <v>5</v>
      </c>
      <c r="C1310" s="3">
        <v>30</v>
      </c>
      <c r="D1310" s="3">
        <v>30</v>
      </c>
      <c r="E1310" s="3">
        <v>20</v>
      </c>
      <c r="F1310" s="3">
        <v>10</v>
      </c>
      <c r="G1310" s="3">
        <v>0</v>
      </c>
    </row>
    <row r="1311" spans="1:7" x14ac:dyDescent="0.25">
      <c r="A1311" t="s">
        <v>148</v>
      </c>
      <c r="B1311" t="s">
        <v>185</v>
      </c>
      <c r="C1311">
        <f>80+5</f>
        <v>85</v>
      </c>
      <c r="D1311">
        <f>79+5</f>
        <v>84</v>
      </c>
      <c r="E1311">
        <f>61+14</f>
        <v>75</v>
      </c>
      <c r="F1311">
        <f>23-17+3</f>
        <v>9</v>
      </c>
      <c r="G1311">
        <v>0</v>
      </c>
    </row>
    <row r="1312" spans="1:7" x14ac:dyDescent="0.25">
      <c r="A1312" s="3" t="s">
        <v>148</v>
      </c>
      <c r="B1312" s="3" t="s">
        <v>185</v>
      </c>
      <c r="C1312" s="3">
        <v>66</v>
      </c>
      <c r="D1312" s="3">
        <v>64</v>
      </c>
      <c r="E1312" s="3">
        <v>58</v>
      </c>
      <c r="F1312" s="3">
        <v>6</v>
      </c>
      <c r="G1312" s="3">
        <v>1</v>
      </c>
    </row>
    <row r="1313" spans="1:7" x14ac:dyDescent="0.25">
      <c r="A1313" t="s">
        <v>148</v>
      </c>
      <c r="B1313" t="s">
        <v>186</v>
      </c>
      <c r="C1313">
        <f>152+10</f>
        <v>162</v>
      </c>
      <c r="D1313">
        <f>146+10</f>
        <v>156</v>
      </c>
      <c r="E1313">
        <f>118+15</f>
        <v>133</v>
      </c>
      <c r="F1313">
        <f>38-18+3</f>
        <v>23</v>
      </c>
      <c r="G1313">
        <v>0</v>
      </c>
    </row>
    <row r="1314" spans="1:7" x14ac:dyDescent="0.25">
      <c r="A1314" s="3" t="s">
        <v>148</v>
      </c>
      <c r="B1314" s="3" t="s">
        <v>186</v>
      </c>
      <c r="C1314" s="3">
        <v>96</v>
      </c>
      <c r="D1314" s="3">
        <v>89</v>
      </c>
      <c r="E1314" s="3">
        <v>81</v>
      </c>
      <c r="F1314" s="3">
        <v>8</v>
      </c>
      <c r="G1314" s="3">
        <v>0</v>
      </c>
    </row>
    <row r="1315" spans="1:7" x14ac:dyDescent="0.25">
      <c r="A1315" t="s">
        <v>148</v>
      </c>
      <c r="B1315" t="s">
        <v>187</v>
      </c>
      <c r="C1315">
        <f>116+1</f>
        <v>117</v>
      </c>
      <c r="D1315">
        <f>116+1</f>
        <v>117</v>
      </c>
      <c r="E1315">
        <f>97+8</f>
        <v>105</v>
      </c>
      <c r="F1315">
        <f>20-9+1</f>
        <v>12</v>
      </c>
      <c r="G1315">
        <v>0</v>
      </c>
    </row>
    <row r="1316" spans="1:7" x14ac:dyDescent="0.25">
      <c r="A1316" s="3" t="s">
        <v>148</v>
      </c>
      <c r="B1316" s="3" t="s">
        <v>187</v>
      </c>
      <c r="C1316" s="3">
        <v>31</v>
      </c>
      <c r="D1316" s="3">
        <v>30</v>
      </c>
      <c r="E1316" s="3">
        <v>26</v>
      </c>
      <c r="F1316" s="3">
        <v>4</v>
      </c>
      <c r="G1316" s="3">
        <v>0</v>
      </c>
    </row>
    <row r="1317" spans="1:7" x14ac:dyDescent="0.25">
      <c r="A1317" t="s">
        <v>148</v>
      </c>
      <c r="B1317" t="s">
        <v>6</v>
      </c>
      <c r="C1317">
        <v>23</v>
      </c>
      <c r="D1317">
        <v>23</v>
      </c>
      <c r="E1317">
        <v>23</v>
      </c>
      <c r="F1317">
        <v>0</v>
      </c>
      <c r="G1317">
        <v>0</v>
      </c>
    </row>
    <row r="1318" spans="1:7" x14ac:dyDescent="0.25">
      <c r="A1318" s="3" t="s">
        <v>148</v>
      </c>
      <c r="B1318" s="3" t="s">
        <v>6</v>
      </c>
      <c r="C1318" s="3">
        <v>8</v>
      </c>
      <c r="D1318" s="3">
        <v>8</v>
      </c>
      <c r="E1318" s="3">
        <v>8</v>
      </c>
      <c r="F1318" s="3">
        <v>0</v>
      </c>
      <c r="G1318" s="3">
        <v>0</v>
      </c>
    </row>
    <row r="1319" spans="1:7" x14ac:dyDescent="0.25">
      <c r="A1319" t="s">
        <v>148</v>
      </c>
      <c r="B1319" t="s">
        <v>7</v>
      </c>
      <c r="C1319">
        <v>18</v>
      </c>
      <c r="D1319">
        <v>17</v>
      </c>
      <c r="E1319">
        <v>17</v>
      </c>
      <c r="F1319">
        <v>0</v>
      </c>
      <c r="G1319">
        <v>0</v>
      </c>
    </row>
    <row r="1320" spans="1:7" x14ac:dyDescent="0.25">
      <c r="A1320" s="3" t="s">
        <v>148</v>
      </c>
      <c r="B1320" s="3" t="s">
        <v>7</v>
      </c>
      <c r="C1320" s="3">
        <v>2</v>
      </c>
      <c r="D1320" s="3">
        <v>2</v>
      </c>
      <c r="E1320" s="3">
        <v>2</v>
      </c>
      <c r="F1320" s="3">
        <v>0</v>
      </c>
      <c r="G1320" s="3">
        <v>0</v>
      </c>
    </row>
    <row r="1321" spans="1:7" x14ac:dyDescent="0.25">
      <c r="A1321" t="s">
        <v>148</v>
      </c>
      <c r="B1321" t="s">
        <v>8</v>
      </c>
      <c r="C1321">
        <v>39</v>
      </c>
      <c r="D1321">
        <v>39</v>
      </c>
      <c r="E1321">
        <v>38</v>
      </c>
      <c r="F1321">
        <v>1</v>
      </c>
      <c r="G1321">
        <v>0</v>
      </c>
    </row>
    <row r="1322" spans="1:7" x14ac:dyDescent="0.25">
      <c r="A1322" s="3" t="s">
        <v>148</v>
      </c>
      <c r="B1322" s="3" t="s">
        <v>8</v>
      </c>
      <c r="C1322" s="3">
        <v>11</v>
      </c>
      <c r="D1322" s="3">
        <v>11</v>
      </c>
      <c r="E1322" s="3">
        <v>10</v>
      </c>
      <c r="F1322" s="3">
        <v>1</v>
      </c>
      <c r="G1322" s="3">
        <v>0</v>
      </c>
    </row>
    <row r="1323" spans="1:7" x14ac:dyDescent="0.25">
      <c r="A1323" t="s">
        <v>148</v>
      </c>
      <c r="B1323" t="s">
        <v>9</v>
      </c>
      <c r="C1323">
        <v>31</v>
      </c>
      <c r="D1323">
        <v>31</v>
      </c>
      <c r="E1323">
        <v>31</v>
      </c>
      <c r="F1323">
        <v>0</v>
      </c>
      <c r="G1323">
        <v>0</v>
      </c>
    </row>
    <row r="1324" spans="1:7" x14ac:dyDescent="0.25">
      <c r="A1324" s="3" t="s">
        <v>148</v>
      </c>
      <c r="B1324" s="3" t="s">
        <v>9</v>
      </c>
      <c r="C1324" s="3">
        <v>4</v>
      </c>
      <c r="D1324" s="3">
        <v>3</v>
      </c>
      <c r="E1324" s="3">
        <v>3</v>
      </c>
      <c r="F1324" s="3">
        <v>0</v>
      </c>
      <c r="G1324" s="3">
        <v>0</v>
      </c>
    </row>
    <row r="1325" spans="1:7" x14ac:dyDescent="0.25">
      <c r="A1325" t="s">
        <v>148</v>
      </c>
      <c r="B1325" t="s">
        <v>10</v>
      </c>
      <c r="C1325">
        <v>111</v>
      </c>
      <c r="D1325">
        <v>110</v>
      </c>
      <c r="E1325">
        <v>103</v>
      </c>
      <c r="F1325">
        <v>7</v>
      </c>
      <c r="G1325">
        <v>0</v>
      </c>
    </row>
    <row r="1326" spans="1:7" x14ac:dyDescent="0.25">
      <c r="A1326" s="3" t="s">
        <v>148</v>
      </c>
      <c r="B1326" s="3" t="s">
        <v>10</v>
      </c>
      <c r="C1326" s="3">
        <v>51</v>
      </c>
      <c r="D1326" s="3">
        <v>51</v>
      </c>
      <c r="E1326" s="3">
        <v>47</v>
      </c>
      <c r="F1326" s="3">
        <v>4</v>
      </c>
      <c r="G1326" s="3">
        <v>0</v>
      </c>
    </row>
    <row r="1327" spans="1:7" x14ac:dyDescent="0.25">
      <c r="A1327" t="s">
        <v>148</v>
      </c>
      <c r="B1327" t="s">
        <v>177</v>
      </c>
      <c r="C1327">
        <v>41</v>
      </c>
      <c r="D1327">
        <v>41</v>
      </c>
      <c r="E1327">
        <v>36</v>
      </c>
      <c r="F1327">
        <v>5</v>
      </c>
      <c r="G1327">
        <v>0</v>
      </c>
    </row>
    <row r="1328" spans="1:7" x14ac:dyDescent="0.25">
      <c r="A1328" s="3" t="s">
        <v>148</v>
      </c>
      <c r="B1328" s="3" t="s">
        <v>177</v>
      </c>
      <c r="C1328" s="3">
        <v>24</v>
      </c>
      <c r="D1328" s="3">
        <v>23</v>
      </c>
      <c r="E1328" s="3">
        <v>19</v>
      </c>
      <c r="F1328" s="3">
        <v>4</v>
      </c>
      <c r="G1328" s="3">
        <v>0</v>
      </c>
    </row>
    <row r="1329" spans="1:7" x14ac:dyDescent="0.25">
      <c r="A1329" t="s">
        <v>135</v>
      </c>
      <c r="B1329" t="s">
        <v>2</v>
      </c>
      <c r="C1329">
        <v>4</v>
      </c>
      <c r="D1329">
        <v>3</v>
      </c>
      <c r="E1329">
        <v>3</v>
      </c>
      <c r="F1329">
        <v>0</v>
      </c>
      <c r="G1329">
        <v>0</v>
      </c>
    </row>
    <row r="1330" spans="1:7" x14ac:dyDescent="0.25">
      <c r="A1330" s="3" t="s">
        <v>135</v>
      </c>
      <c r="B1330" s="3" t="s">
        <v>2</v>
      </c>
      <c r="C1330" s="3">
        <v>5</v>
      </c>
      <c r="D1330" s="3">
        <v>5</v>
      </c>
      <c r="E1330" s="3">
        <v>4</v>
      </c>
      <c r="F1330" s="3">
        <v>1</v>
      </c>
      <c r="G1330" s="3">
        <v>0</v>
      </c>
    </row>
    <row r="1331" spans="1:7" x14ac:dyDescent="0.25">
      <c r="A1331" t="s">
        <v>135</v>
      </c>
      <c r="B1331" t="s">
        <v>5</v>
      </c>
      <c r="C1331">
        <v>24</v>
      </c>
      <c r="D1331">
        <v>24</v>
      </c>
      <c r="E1331">
        <v>20</v>
      </c>
      <c r="F1331">
        <v>4</v>
      </c>
      <c r="G1331">
        <v>0</v>
      </c>
    </row>
    <row r="1332" spans="1:7" x14ac:dyDescent="0.25">
      <c r="A1332" s="3" t="s">
        <v>135</v>
      </c>
      <c r="B1332" s="3" t="s">
        <v>5</v>
      </c>
      <c r="C1332" s="3">
        <v>19</v>
      </c>
      <c r="D1332" s="3">
        <v>17</v>
      </c>
      <c r="E1332" s="3">
        <v>17</v>
      </c>
      <c r="F1332" s="3">
        <v>0</v>
      </c>
      <c r="G1332" s="3">
        <v>0</v>
      </c>
    </row>
    <row r="1333" spans="1:7" x14ac:dyDescent="0.25">
      <c r="A1333" t="s">
        <v>135</v>
      </c>
      <c r="B1333" t="s">
        <v>185</v>
      </c>
      <c r="C1333">
        <f>61+7</f>
        <v>68</v>
      </c>
      <c r="D1333">
        <v>67</v>
      </c>
      <c r="E1333">
        <f>50+14</f>
        <v>64</v>
      </c>
      <c r="F1333">
        <f>18-16+1</f>
        <v>3</v>
      </c>
      <c r="G1333">
        <v>0</v>
      </c>
    </row>
    <row r="1334" spans="1:7" x14ac:dyDescent="0.25">
      <c r="A1334" s="3" t="s">
        <v>135</v>
      </c>
      <c r="B1334" s="3" t="s">
        <v>185</v>
      </c>
      <c r="C1334" s="3">
        <v>29</v>
      </c>
      <c r="D1334" s="3">
        <v>29</v>
      </c>
      <c r="E1334" s="3">
        <v>26</v>
      </c>
      <c r="F1334" s="3">
        <v>3</v>
      </c>
      <c r="G1334" s="3">
        <v>0</v>
      </c>
    </row>
    <row r="1335" spans="1:7" x14ac:dyDescent="0.25">
      <c r="A1335" t="s">
        <v>135</v>
      </c>
      <c r="B1335" t="s">
        <v>186</v>
      </c>
      <c r="C1335">
        <f>75+6</f>
        <v>81</v>
      </c>
      <c r="D1335">
        <f>73+6</f>
        <v>79</v>
      </c>
      <c r="E1335">
        <f>65+6</f>
        <v>71</v>
      </c>
      <c r="F1335">
        <v>8</v>
      </c>
      <c r="G1335">
        <v>0</v>
      </c>
    </row>
    <row r="1336" spans="1:7" x14ac:dyDescent="0.25">
      <c r="A1336" s="3" t="s">
        <v>135</v>
      </c>
      <c r="B1336" s="3" t="s">
        <v>186</v>
      </c>
      <c r="C1336" s="3">
        <v>59</v>
      </c>
      <c r="D1336" s="3">
        <v>53</v>
      </c>
      <c r="E1336" s="3">
        <f>48+1</f>
        <v>49</v>
      </c>
      <c r="F1336" s="3">
        <f>5-3+2</f>
        <v>4</v>
      </c>
      <c r="G1336" s="3">
        <v>0</v>
      </c>
    </row>
    <row r="1337" spans="1:7" x14ac:dyDescent="0.25">
      <c r="A1337" t="s">
        <v>135</v>
      </c>
      <c r="B1337" t="s">
        <v>187</v>
      </c>
      <c r="C1337">
        <v>71</v>
      </c>
      <c r="D1337">
        <v>70</v>
      </c>
      <c r="E1337">
        <f>53+12</f>
        <v>65</v>
      </c>
      <c r="F1337">
        <f>17-12+0</f>
        <v>5</v>
      </c>
      <c r="G1337">
        <v>0</v>
      </c>
    </row>
    <row r="1338" spans="1:7" x14ac:dyDescent="0.25">
      <c r="A1338" s="3" t="s">
        <v>135</v>
      </c>
      <c r="B1338" s="3" t="s">
        <v>187</v>
      </c>
      <c r="C1338" s="3">
        <v>24</v>
      </c>
      <c r="D1338" s="3">
        <v>24</v>
      </c>
      <c r="E1338" s="3">
        <v>21</v>
      </c>
      <c r="F1338" s="3">
        <v>3</v>
      </c>
      <c r="G1338" s="3">
        <v>0</v>
      </c>
    </row>
    <row r="1339" spans="1:7" x14ac:dyDescent="0.25">
      <c r="A1339" t="s">
        <v>135</v>
      </c>
      <c r="B1339" t="s">
        <v>6</v>
      </c>
      <c r="C1339">
        <v>35</v>
      </c>
      <c r="D1339">
        <v>35</v>
      </c>
      <c r="E1339">
        <v>35</v>
      </c>
      <c r="F1339">
        <v>0</v>
      </c>
      <c r="G1339">
        <v>0</v>
      </c>
    </row>
    <row r="1340" spans="1:7" x14ac:dyDescent="0.25">
      <c r="A1340" s="3" t="s">
        <v>135</v>
      </c>
      <c r="B1340" s="3" t="s">
        <v>6</v>
      </c>
      <c r="C1340" s="3">
        <v>12</v>
      </c>
      <c r="D1340" s="3">
        <v>12</v>
      </c>
      <c r="E1340" s="3">
        <v>12</v>
      </c>
      <c r="F1340" s="3">
        <v>0</v>
      </c>
      <c r="G1340" s="3">
        <v>0</v>
      </c>
    </row>
    <row r="1341" spans="1:7" x14ac:dyDescent="0.25">
      <c r="A1341" t="s">
        <v>135</v>
      </c>
      <c r="B1341" t="s">
        <v>7</v>
      </c>
      <c r="C1341">
        <v>17</v>
      </c>
      <c r="D1341">
        <v>17</v>
      </c>
      <c r="E1341">
        <v>14</v>
      </c>
      <c r="F1341">
        <v>3</v>
      </c>
      <c r="G1341">
        <v>0</v>
      </c>
    </row>
    <row r="1342" spans="1:7" x14ac:dyDescent="0.25">
      <c r="A1342" s="3" t="s">
        <v>135</v>
      </c>
      <c r="B1342" s="3" t="s">
        <v>7</v>
      </c>
      <c r="C1342" s="3">
        <v>4</v>
      </c>
      <c r="D1342" s="3">
        <v>3</v>
      </c>
      <c r="E1342" s="3">
        <v>3</v>
      </c>
      <c r="F1342" s="3">
        <v>0</v>
      </c>
      <c r="G1342" s="3">
        <v>0</v>
      </c>
    </row>
    <row r="1343" spans="1:7" x14ac:dyDescent="0.25">
      <c r="A1343" t="s">
        <v>135</v>
      </c>
      <c r="B1343" t="s">
        <v>8</v>
      </c>
      <c r="C1343">
        <v>37</v>
      </c>
      <c r="D1343">
        <v>37</v>
      </c>
      <c r="E1343">
        <v>35</v>
      </c>
      <c r="F1343">
        <v>2</v>
      </c>
      <c r="G1343">
        <v>0</v>
      </c>
    </row>
    <row r="1344" spans="1:7" x14ac:dyDescent="0.25">
      <c r="A1344" s="3" t="s">
        <v>135</v>
      </c>
      <c r="B1344" s="3" t="s">
        <v>8</v>
      </c>
      <c r="C1344" s="3">
        <v>10</v>
      </c>
      <c r="D1344" s="3">
        <v>9</v>
      </c>
      <c r="E1344" s="3">
        <v>8</v>
      </c>
      <c r="F1344" s="3">
        <v>1</v>
      </c>
      <c r="G1344" s="3">
        <v>0</v>
      </c>
    </row>
    <row r="1345" spans="1:7" x14ac:dyDescent="0.25">
      <c r="A1345" t="s">
        <v>135</v>
      </c>
      <c r="B1345" t="s">
        <v>9</v>
      </c>
      <c r="C1345">
        <v>21</v>
      </c>
      <c r="D1345">
        <v>21</v>
      </c>
      <c r="E1345">
        <v>21</v>
      </c>
      <c r="F1345">
        <v>0</v>
      </c>
      <c r="G1345">
        <v>0</v>
      </c>
    </row>
    <row r="1346" spans="1:7" x14ac:dyDescent="0.25">
      <c r="A1346" s="3" t="s">
        <v>135</v>
      </c>
      <c r="B1346" s="3" t="s">
        <v>9</v>
      </c>
      <c r="C1346" s="3">
        <v>7</v>
      </c>
      <c r="D1346" s="3">
        <v>7</v>
      </c>
      <c r="E1346" s="3">
        <v>7</v>
      </c>
      <c r="F1346" s="3">
        <v>0</v>
      </c>
      <c r="G1346" s="3">
        <v>0</v>
      </c>
    </row>
    <row r="1347" spans="1:7" x14ac:dyDescent="0.25">
      <c r="A1347" t="s">
        <v>135</v>
      </c>
      <c r="B1347" t="s">
        <v>10</v>
      </c>
      <c r="C1347">
        <v>81</v>
      </c>
      <c r="D1347">
        <v>79</v>
      </c>
      <c r="E1347">
        <v>75</v>
      </c>
      <c r="F1347">
        <v>4</v>
      </c>
      <c r="G1347">
        <v>0</v>
      </c>
    </row>
    <row r="1348" spans="1:7" x14ac:dyDescent="0.25">
      <c r="A1348" s="3" t="s">
        <v>135</v>
      </c>
      <c r="B1348" s="3" t="s">
        <v>10</v>
      </c>
      <c r="C1348" s="3">
        <v>29</v>
      </c>
      <c r="D1348" s="3">
        <v>29</v>
      </c>
      <c r="E1348" s="3">
        <v>27</v>
      </c>
      <c r="F1348" s="3">
        <v>2</v>
      </c>
      <c r="G1348" s="3">
        <v>0</v>
      </c>
    </row>
    <row r="1349" spans="1:7" x14ac:dyDescent="0.25">
      <c r="A1349" t="s">
        <v>135</v>
      </c>
      <c r="B1349" t="s">
        <v>177</v>
      </c>
      <c r="C1349">
        <v>15</v>
      </c>
      <c r="D1349">
        <v>15</v>
      </c>
      <c r="E1349">
        <v>15</v>
      </c>
      <c r="F1349">
        <v>0</v>
      </c>
      <c r="G1349">
        <v>0</v>
      </c>
    </row>
    <row r="1350" spans="1:7" x14ac:dyDescent="0.25">
      <c r="A1350" s="3" t="s">
        <v>135</v>
      </c>
      <c r="B1350" s="3" t="s">
        <v>177</v>
      </c>
      <c r="C1350" s="3">
        <v>12</v>
      </c>
      <c r="D1350" s="3">
        <v>9</v>
      </c>
      <c r="E1350" s="3">
        <v>8</v>
      </c>
      <c r="F1350" s="3">
        <v>1</v>
      </c>
      <c r="G1350" s="3">
        <v>0</v>
      </c>
    </row>
    <row r="1351" spans="1:7" x14ac:dyDescent="0.25">
      <c r="A1351" t="s">
        <v>34</v>
      </c>
      <c r="B1351" t="s">
        <v>2</v>
      </c>
      <c r="C1351">
        <v>3</v>
      </c>
      <c r="D1351">
        <v>3</v>
      </c>
      <c r="E1351">
        <v>2</v>
      </c>
      <c r="F1351">
        <v>1</v>
      </c>
      <c r="G1351">
        <v>0</v>
      </c>
    </row>
    <row r="1352" spans="1:7" x14ac:dyDescent="0.25">
      <c r="A1352" s="3" t="s">
        <v>34</v>
      </c>
      <c r="B1352" s="3" t="s">
        <v>2</v>
      </c>
      <c r="C1352" s="3">
        <v>3</v>
      </c>
      <c r="D1352" s="3">
        <v>3</v>
      </c>
      <c r="E1352" s="3">
        <v>3</v>
      </c>
      <c r="F1352" s="3">
        <v>0</v>
      </c>
      <c r="G1352" s="3">
        <v>0</v>
      </c>
    </row>
    <row r="1353" spans="1:7" x14ac:dyDescent="0.25">
      <c r="A1353" t="s">
        <v>34</v>
      </c>
      <c r="B1353" t="s">
        <v>4</v>
      </c>
      <c r="C1353">
        <v>1</v>
      </c>
      <c r="D1353">
        <v>0</v>
      </c>
      <c r="E1353">
        <v>0</v>
      </c>
      <c r="F1353">
        <v>0</v>
      </c>
      <c r="G1353">
        <v>0</v>
      </c>
    </row>
    <row r="1354" spans="1:7" x14ac:dyDescent="0.25">
      <c r="A1354" t="s">
        <v>34</v>
      </c>
      <c r="B1354" t="s">
        <v>5</v>
      </c>
      <c r="C1354">
        <v>34</v>
      </c>
      <c r="D1354">
        <v>17</v>
      </c>
      <c r="E1354">
        <v>13</v>
      </c>
      <c r="F1354">
        <v>4</v>
      </c>
      <c r="G1354">
        <v>0</v>
      </c>
    </row>
    <row r="1355" spans="1:7" x14ac:dyDescent="0.25">
      <c r="A1355" s="3" t="s">
        <v>34</v>
      </c>
      <c r="B1355" s="3" t="s">
        <v>5</v>
      </c>
      <c r="C1355" s="3">
        <v>21</v>
      </c>
      <c r="D1355" s="3">
        <v>16</v>
      </c>
      <c r="E1355" s="3">
        <v>16</v>
      </c>
      <c r="F1355" s="3">
        <v>0</v>
      </c>
      <c r="G1355" s="3">
        <v>0</v>
      </c>
    </row>
    <row r="1356" spans="1:7" x14ac:dyDescent="0.25">
      <c r="A1356" t="s">
        <v>34</v>
      </c>
      <c r="B1356" t="s">
        <v>185</v>
      </c>
      <c r="C1356">
        <f>20+4</f>
        <v>24</v>
      </c>
      <c r="D1356">
        <f>16+4</f>
        <v>20</v>
      </c>
      <c r="E1356">
        <f>15+2</f>
        <v>17</v>
      </c>
      <c r="F1356">
        <f>5-3+1</f>
        <v>3</v>
      </c>
      <c r="G1356">
        <v>0</v>
      </c>
    </row>
    <row r="1357" spans="1:7" x14ac:dyDescent="0.25">
      <c r="A1357" s="3" t="s">
        <v>34</v>
      </c>
      <c r="B1357" s="3" t="s">
        <v>185</v>
      </c>
      <c r="C1357" s="3">
        <v>11</v>
      </c>
      <c r="D1357" s="3">
        <v>8</v>
      </c>
      <c r="E1357" s="3">
        <v>8</v>
      </c>
      <c r="F1357" s="3">
        <v>0</v>
      </c>
      <c r="G1357" s="3">
        <v>0</v>
      </c>
    </row>
    <row r="1358" spans="1:7" x14ac:dyDescent="0.25">
      <c r="A1358" t="s">
        <v>34</v>
      </c>
      <c r="B1358" t="s">
        <v>186</v>
      </c>
      <c r="C1358">
        <f>47+3</f>
        <v>50</v>
      </c>
      <c r="D1358">
        <f>47+2</f>
        <v>49</v>
      </c>
      <c r="E1358">
        <v>43</v>
      </c>
      <c r="F1358">
        <f>4+2</f>
        <v>6</v>
      </c>
      <c r="G1358">
        <v>0</v>
      </c>
    </row>
    <row r="1359" spans="1:7" x14ac:dyDescent="0.25">
      <c r="A1359" s="3" t="s">
        <v>34</v>
      </c>
      <c r="B1359" s="3" t="s">
        <v>186</v>
      </c>
      <c r="C1359" s="3">
        <v>19</v>
      </c>
      <c r="D1359" s="3">
        <v>17</v>
      </c>
      <c r="E1359" s="3">
        <f>14+2</f>
        <v>16</v>
      </c>
      <c r="F1359" s="3">
        <f>3-2+0</f>
        <v>1</v>
      </c>
      <c r="G1359" s="3">
        <v>0</v>
      </c>
    </row>
    <row r="1360" spans="1:7" x14ac:dyDescent="0.25">
      <c r="A1360" t="s">
        <v>34</v>
      </c>
      <c r="B1360" t="s">
        <v>187</v>
      </c>
      <c r="C1360">
        <f>72+2</f>
        <v>74</v>
      </c>
      <c r="D1360">
        <f>68+2</f>
        <v>70</v>
      </c>
      <c r="E1360">
        <f>54+8</f>
        <v>62</v>
      </c>
      <c r="F1360">
        <f>16-12+4</f>
        <v>8</v>
      </c>
      <c r="G1360">
        <v>1</v>
      </c>
    </row>
    <row r="1361" spans="1:7" x14ac:dyDescent="0.25">
      <c r="A1361" s="3" t="s">
        <v>34</v>
      </c>
      <c r="B1361" s="3" t="s">
        <v>187</v>
      </c>
      <c r="C1361" s="3">
        <v>54</v>
      </c>
      <c r="D1361" s="3">
        <v>47</v>
      </c>
      <c r="E1361" s="3">
        <v>47</v>
      </c>
      <c r="F1361" s="3">
        <v>0</v>
      </c>
      <c r="G1361" s="3">
        <v>0</v>
      </c>
    </row>
    <row r="1362" spans="1:7" x14ac:dyDescent="0.25">
      <c r="A1362" t="s">
        <v>34</v>
      </c>
      <c r="B1362" t="s">
        <v>6</v>
      </c>
      <c r="C1362">
        <v>4</v>
      </c>
      <c r="D1362">
        <v>4</v>
      </c>
      <c r="E1362">
        <v>4</v>
      </c>
      <c r="F1362">
        <v>0</v>
      </c>
      <c r="G1362">
        <v>0</v>
      </c>
    </row>
    <row r="1363" spans="1:7" x14ac:dyDescent="0.25">
      <c r="A1363" s="3" t="s">
        <v>34</v>
      </c>
      <c r="B1363" s="3" t="s">
        <v>6</v>
      </c>
      <c r="C1363" s="3">
        <v>1</v>
      </c>
      <c r="D1363" s="3">
        <v>1</v>
      </c>
      <c r="E1363" s="3">
        <v>1</v>
      </c>
      <c r="F1363" s="3">
        <v>0</v>
      </c>
      <c r="G1363" s="3">
        <v>0</v>
      </c>
    </row>
    <row r="1364" spans="1:7" x14ac:dyDescent="0.25">
      <c r="A1364" t="s">
        <v>34</v>
      </c>
      <c r="B1364" t="s">
        <v>7</v>
      </c>
      <c r="C1364">
        <v>6</v>
      </c>
      <c r="D1364">
        <v>5</v>
      </c>
      <c r="E1364">
        <v>5</v>
      </c>
      <c r="F1364">
        <v>0</v>
      </c>
      <c r="G1364">
        <v>0</v>
      </c>
    </row>
    <row r="1365" spans="1:7" x14ac:dyDescent="0.25">
      <c r="A1365" s="3" t="s">
        <v>34</v>
      </c>
      <c r="B1365" s="3" t="s">
        <v>7</v>
      </c>
      <c r="C1365" s="3">
        <v>2</v>
      </c>
      <c r="D1365" s="3">
        <v>2</v>
      </c>
      <c r="E1365" s="3">
        <v>2</v>
      </c>
      <c r="F1365" s="3">
        <v>0</v>
      </c>
      <c r="G1365" s="3">
        <v>0</v>
      </c>
    </row>
    <row r="1366" spans="1:7" x14ac:dyDescent="0.25">
      <c r="A1366" t="s">
        <v>34</v>
      </c>
      <c r="B1366" t="s">
        <v>8</v>
      </c>
      <c r="C1366">
        <v>5</v>
      </c>
      <c r="D1366">
        <v>5</v>
      </c>
      <c r="E1366">
        <v>5</v>
      </c>
      <c r="F1366">
        <v>0</v>
      </c>
      <c r="G1366">
        <v>0</v>
      </c>
    </row>
    <row r="1367" spans="1:7" x14ac:dyDescent="0.25">
      <c r="A1367" s="3" t="s">
        <v>34</v>
      </c>
      <c r="B1367" s="3" t="s">
        <v>8</v>
      </c>
      <c r="C1367" s="3">
        <v>8</v>
      </c>
      <c r="D1367" s="3">
        <v>5</v>
      </c>
      <c r="E1367" s="3">
        <v>3</v>
      </c>
      <c r="F1367" s="3">
        <v>2</v>
      </c>
      <c r="G1367" s="3">
        <v>0</v>
      </c>
    </row>
    <row r="1368" spans="1:7" x14ac:dyDescent="0.25">
      <c r="A1368" t="s">
        <v>34</v>
      </c>
      <c r="B1368" t="s">
        <v>9</v>
      </c>
      <c r="C1368">
        <v>5</v>
      </c>
      <c r="D1368">
        <v>4</v>
      </c>
      <c r="E1368">
        <v>3</v>
      </c>
      <c r="F1368">
        <v>1</v>
      </c>
      <c r="G1368">
        <v>0</v>
      </c>
    </row>
    <row r="1369" spans="1:7" x14ac:dyDescent="0.25">
      <c r="A1369" s="3" t="s">
        <v>34</v>
      </c>
      <c r="B1369" s="3" t="s">
        <v>9</v>
      </c>
      <c r="C1369" s="3">
        <v>4</v>
      </c>
      <c r="D1369" s="3">
        <v>3</v>
      </c>
      <c r="E1369" s="3">
        <v>3</v>
      </c>
      <c r="F1369" s="3">
        <v>0</v>
      </c>
      <c r="G1369" s="3">
        <v>0</v>
      </c>
    </row>
    <row r="1370" spans="1:7" x14ac:dyDescent="0.25">
      <c r="A1370" t="s">
        <v>34</v>
      </c>
      <c r="B1370" t="s">
        <v>10</v>
      </c>
      <c r="C1370">
        <v>74</v>
      </c>
      <c r="D1370">
        <v>58</v>
      </c>
      <c r="E1370">
        <v>48</v>
      </c>
      <c r="F1370">
        <v>10</v>
      </c>
      <c r="G1370">
        <v>0</v>
      </c>
    </row>
    <row r="1371" spans="1:7" x14ac:dyDescent="0.25">
      <c r="A1371" s="3" t="s">
        <v>34</v>
      </c>
      <c r="B1371" s="3" t="s">
        <v>10</v>
      </c>
      <c r="C1371" s="3">
        <v>51</v>
      </c>
      <c r="D1371" s="3">
        <v>33</v>
      </c>
      <c r="E1371" s="3">
        <v>31</v>
      </c>
      <c r="F1371" s="3">
        <v>2</v>
      </c>
      <c r="G1371" s="3">
        <v>0</v>
      </c>
    </row>
    <row r="1372" spans="1:7" x14ac:dyDescent="0.25">
      <c r="A1372" t="s">
        <v>34</v>
      </c>
      <c r="B1372" t="s">
        <v>177</v>
      </c>
      <c r="C1372">
        <v>15</v>
      </c>
      <c r="D1372">
        <v>10</v>
      </c>
      <c r="E1372">
        <v>10</v>
      </c>
      <c r="F1372">
        <v>0</v>
      </c>
      <c r="G1372">
        <v>0</v>
      </c>
    </row>
    <row r="1373" spans="1:7" x14ac:dyDescent="0.25">
      <c r="A1373" s="3" t="s">
        <v>34</v>
      </c>
      <c r="B1373" s="3" t="s">
        <v>177</v>
      </c>
      <c r="C1373" s="3">
        <v>11</v>
      </c>
      <c r="D1373" s="3">
        <v>8</v>
      </c>
      <c r="E1373" s="3">
        <v>8</v>
      </c>
      <c r="F1373" s="3">
        <v>0</v>
      </c>
      <c r="G1373" s="3">
        <v>0</v>
      </c>
    </row>
    <row r="1374" spans="1:7" x14ac:dyDescent="0.25">
      <c r="A1374" t="s">
        <v>145</v>
      </c>
      <c r="B1374" t="s">
        <v>2</v>
      </c>
      <c r="C1374">
        <v>2</v>
      </c>
      <c r="D1374">
        <v>2</v>
      </c>
      <c r="E1374">
        <v>2</v>
      </c>
      <c r="F1374">
        <v>0</v>
      </c>
      <c r="G1374">
        <v>0</v>
      </c>
    </row>
    <row r="1375" spans="1:7" x14ac:dyDescent="0.25">
      <c r="A1375" s="3" t="s">
        <v>145</v>
      </c>
      <c r="B1375" s="3" t="s">
        <v>2</v>
      </c>
      <c r="C1375" s="3">
        <v>2</v>
      </c>
      <c r="D1375" s="3">
        <v>1</v>
      </c>
      <c r="E1375" s="3">
        <v>1</v>
      </c>
      <c r="F1375" s="3">
        <v>0</v>
      </c>
      <c r="G1375" s="3">
        <v>0</v>
      </c>
    </row>
    <row r="1376" spans="1:7" x14ac:dyDescent="0.25">
      <c r="A1376" t="s">
        <v>145</v>
      </c>
      <c r="B1376" t="s">
        <v>5</v>
      </c>
      <c r="C1376">
        <v>33</v>
      </c>
      <c r="D1376">
        <v>33</v>
      </c>
      <c r="E1376">
        <f>16+11</f>
        <v>27</v>
      </c>
      <c r="F1376">
        <f>17-12+1</f>
        <v>6</v>
      </c>
      <c r="G1376">
        <v>0</v>
      </c>
    </row>
    <row r="1377" spans="1:7" x14ac:dyDescent="0.25">
      <c r="A1377" s="3" t="s">
        <v>145</v>
      </c>
      <c r="B1377" s="3" t="s">
        <v>5</v>
      </c>
      <c r="C1377" s="3">
        <v>17</v>
      </c>
      <c r="D1377" s="3">
        <v>14</v>
      </c>
      <c r="E1377" s="3">
        <v>12</v>
      </c>
      <c r="F1377" s="3">
        <v>2</v>
      </c>
      <c r="G1377" s="3">
        <v>0</v>
      </c>
    </row>
    <row r="1378" spans="1:7" x14ac:dyDescent="0.25">
      <c r="A1378" t="s">
        <v>145</v>
      </c>
      <c r="B1378" t="s">
        <v>185</v>
      </c>
      <c r="C1378">
        <f>51+2</f>
        <v>53</v>
      </c>
      <c r="D1378">
        <f>49+2</f>
        <v>51</v>
      </c>
      <c r="E1378">
        <f>34+2</f>
        <v>36</v>
      </c>
      <c r="F1378">
        <v>15</v>
      </c>
      <c r="G1378">
        <v>0</v>
      </c>
    </row>
    <row r="1379" spans="1:7" x14ac:dyDescent="0.25">
      <c r="A1379" s="3" t="s">
        <v>145</v>
      </c>
      <c r="B1379" s="3" t="s">
        <v>185</v>
      </c>
      <c r="C1379" s="3">
        <v>48</v>
      </c>
      <c r="D1379" s="3">
        <v>43</v>
      </c>
      <c r="E1379" s="3">
        <f>33+6</f>
        <v>39</v>
      </c>
      <c r="F1379" s="3">
        <f>10-7+1</f>
        <v>4</v>
      </c>
      <c r="G1379" s="3">
        <v>0</v>
      </c>
    </row>
    <row r="1380" spans="1:7" x14ac:dyDescent="0.25">
      <c r="A1380" t="s">
        <v>145</v>
      </c>
      <c r="B1380" t="s">
        <v>186</v>
      </c>
      <c r="C1380">
        <v>48</v>
      </c>
      <c r="D1380">
        <v>43</v>
      </c>
      <c r="E1380">
        <f>30+13</f>
        <v>43</v>
      </c>
      <c r="F1380">
        <v>0</v>
      </c>
      <c r="G1380">
        <v>0</v>
      </c>
    </row>
    <row r="1381" spans="1:7" x14ac:dyDescent="0.25">
      <c r="A1381" s="3" t="s">
        <v>145</v>
      </c>
      <c r="B1381" s="3" t="s">
        <v>186</v>
      </c>
      <c r="C1381" s="3">
        <v>52</v>
      </c>
      <c r="D1381" s="3">
        <v>45</v>
      </c>
      <c r="E1381" s="3">
        <v>42</v>
      </c>
      <c r="F1381" s="3">
        <v>3</v>
      </c>
      <c r="G1381" s="3">
        <v>0</v>
      </c>
    </row>
    <row r="1382" spans="1:7" x14ac:dyDescent="0.25">
      <c r="A1382" t="s">
        <v>145</v>
      </c>
      <c r="B1382" t="s">
        <v>189</v>
      </c>
      <c r="C1382">
        <v>1</v>
      </c>
      <c r="D1382">
        <v>1</v>
      </c>
      <c r="E1382">
        <v>0</v>
      </c>
      <c r="F1382">
        <v>1</v>
      </c>
      <c r="G1382">
        <v>0</v>
      </c>
    </row>
    <row r="1383" spans="1:7" x14ac:dyDescent="0.25">
      <c r="A1383" t="s">
        <v>145</v>
      </c>
      <c r="B1383" t="s">
        <v>187</v>
      </c>
      <c r="C1383">
        <v>88</v>
      </c>
      <c r="D1383">
        <v>88</v>
      </c>
      <c r="E1383">
        <f>58+15</f>
        <v>73</v>
      </c>
      <c r="F1383">
        <f>30-16+1</f>
        <v>15</v>
      </c>
      <c r="G1383">
        <v>0</v>
      </c>
    </row>
    <row r="1384" spans="1:7" x14ac:dyDescent="0.25">
      <c r="A1384" s="3" t="s">
        <v>145</v>
      </c>
      <c r="B1384" s="3" t="s">
        <v>187</v>
      </c>
      <c r="C1384" s="3">
        <v>94</v>
      </c>
      <c r="D1384" s="3">
        <v>86</v>
      </c>
      <c r="E1384" s="3">
        <v>74</v>
      </c>
      <c r="F1384" s="3">
        <v>12</v>
      </c>
      <c r="G1384" s="3">
        <v>1</v>
      </c>
    </row>
    <row r="1385" spans="1:7" x14ac:dyDescent="0.25">
      <c r="A1385" t="s">
        <v>145</v>
      </c>
      <c r="B1385" t="s">
        <v>6</v>
      </c>
      <c r="C1385">
        <v>122</v>
      </c>
      <c r="D1385">
        <v>116</v>
      </c>
      <c r="E1385">
        <v>116</v>
      </c>
      <c r="F1385">
        <v>0</v>
      </c>
      <c r="G1385">
        <v>0</v>
      </c>
    </row>
    <row r="1386" spans="1:7" x14ac:dyDescent="0.25">
      <c r="A1386" s="3" t="s">
        <v>145</v>
      </c>
      <c r="B1386" s="3" t="s">
        <v>6</v>
      </c>
      <c r="C1386" s="3">
        <v>82</v>
      </c>
      <c r="D1386" s="3">
        <v>75</v>
      </c>
      <c r="E1386" s="3">
        <v>74</v>
      </c>
      <c r="F1386" s="3">
        <v>1</v>
      </c>
      <c r="G1386" s="3">
        <v>0</v>
      </c>
    </row>
    <row r="1387" spans="1:7" x14ac:dyDescent="0.25">
      <c r="A1387" t="s">
        <v>145</v>
      </c>
      <c r="B1387" t="s">
        <v>8</v>
      </c>
      <c r="C1387">
        <v>17</v>
      </c>
      <c r="D1387">
        <v>17</v>
      </c>
      <c r="E1387">
        <v>9</v>
      </c>
      <c r="F1387">
        <v>8</v>
      </c>
      <c r="G1387">
        <v>0</v>
      </c>
    </row>
    <row r="1388" spans="1:7" x14ac:dyDescent="0.25">
      <c r="A1388" s="3" t="s">
        <v>145</v>
      </c>
      <c r="B1388" s="3" t="s">
        <v>8</v>
      </c>
      <c r="C1388" s="3">
        <v>3</v>
      </c>
      <c r="D1388" s="3">
        <v>1</v>
      </c>
      <c r="E1388" s="3">
        <v>1</v>
      </c>
      <c r="F1388" s="3">
        <v>0</v>
      </c>
      <c r="G1388" s="3">
        <v>0</v>
      </c>
    </row>
    <row r="1389" spans="1:7" x14ac:dyDescent="0.25">
      <c r="A1389" t="s">
        <v>145</v>
      </c>
      <c r="B1389" t="s">
        <v>9</v>
      </c>
      <c r="C1389">
        <v>2</v>
      </c>
      <c r="D1389">
        <v>2</v>
      </c>
      <c r="E1389">
        <v>2</v>
      </c>
      <c r="F1389">
        <v>0</v>
      </c>
      <c r="G1389">
        <v>0</v>
      </c>
    </row>
    <row r="1390" spans="1:7" x14ac:dyDescent="0.25">
      <c r="A1390" t="s">
        <v>145</v>
      </c>
      <c r="B1390" t="s">
        <v>10</v>
      </c>
      <c r="C1390">
        <v>108</v>
      </c>
      <c r="D1390">
        <v>108</v>
      </c>
      <c r="E1390">
        <v>107</v>
      </c>
      <c r="F1390">
        <v>1</v>
      </c>
      <c r="G1390">
        <v>0</v>
      </c>
    </row>
    <row r="1391" spans="1:7" x14ac:dyDescent="0.25">
      <c r="A1391" s="3" t="s">
        <v>145</v>
      </c>
      <c r="B1391" s="3" t="s">
        <v>10</v>
      </c>
      <c r="C1391" s="3">
        <v>75</v>
      </c>
      <c r="D1391" s="3">
        <v>70</v>
      </c>
      <c r="E1391" s="3">
        <v>66</v>
      </c>
      <c r="F1391" s="3">
        <v>4</v>
      </c>
      <c r="G1391" s="3">
        <v>0</v>
      </c>
    </row>
    <row r="1392" spans="1:7" x14ac:dyDescent="0.25">
      <c r="A1392" t="s">
        <v>145</v>
      </c>
      <c r="B1392" t="s">
        <v>177</v>
      </c>
      <c r="C1392">
        <v>17</v>
      </c>
      <c r="D1392">
        <v>17</v>
      </c>
      <c r="E1392">
        <v>10</v>
      </c>
      <c r="F1392">
        <v>7</v>
      </c>
      <c r="G1392">
        <v>0</v>
      </c>
    </row>
    <row r="1393" spans="1:12" x14ac:dyDescent="0.25">
      <c r="A1393" s="3" t="s">
        <v>145</v>
      </c>
      <c r="B1393" s="3" t="s">
        <v>177</v>
      </c>
      <c r="C1393" s="3">
        <v>7</v>
      </c>
      <c r="D1393" s="3">
        <v>6</v>
      </c>
      <c r="E1393" s="3">
        <v>6</v>
      </c>
      <c r="F1393" s="3">
        <v>0</v>
      </c>
      <c r="G1393" s="3">
        <v>0</v>
      </c>
    </row>
    <row r="1394" spans="1:12" x14ac:dyDescent="0.25">
      <c r="A1394" t="s">
        <v>42</v>
      </c>
      <c r="B1394" t="s">
        <v>2</v>
      </c>
      <c r="C1394">
        <v>2</v>
      </c>
      <c r="D1394">
        <v>2</v>
      </c>
      <c r="E1394">
        <v>2</v>
      </c>
      <c r="F1394">
        <v>0</v>
      </c>
      <c r="G1394">
        <v>0</v>
      </c>
    </row>
    <row r="1395" spans="1:12" x14ac:dyDescent="0.25">
      <c r="A1395" s="3" t="s">
        <v>42</v>
      </c>
      <c r="B1395" s="3" t="s">
        <v>2</v>
      </c>
      <c r="C1395" s="3">
        <v>2</v>
      </c>
      <c r="D1395" s="3">
        <v>1</v>
      </c>
      <c r="E1395" s="3">
        <v>0</v>
      </c>
      <c r="F1395" s="3">
        <v>1</v>
      </c>
      <c r="G1395" s="3">
        <v>0</v>
      </c>
    </row>
    <row r="1396" spans="1:12" x14ac:dyDescent="0.25">
      <c r="A1396" t="s">
        <v>42</v>
      </c>
      <c r="B1396" t="s">
        <v>5</v>
      </c>
      <c r="C1396">
        <v>5</v>
      </c>
      <c r="D1396">
        <v>5</v>
      </c>
      <c r="E1396">
        <v>5</v>
      </c>
      <c r="F1396">
        <v>0</v>
      </c>
      <c r="G1396">
        <v>0</v>
      </c>
      <c r="I1396">
        <v>692</v>
      </c>
      <c r="J1396">
        <v>681</v>
      </c>
      <c r="K1396">
        <v>494</v>
      </c>
      <c r="L1396">
        <v>0</v>
      </c>
    </row>
    <row r="1397" spans="1:12" x14ac:dyDescent="0.25">
      <c r="A1397" s="3" t="s">
        <v>42</v>
      </c>
      <c r="B1397" s="3" t="s">
        <v>5</v>
      </c>
      <c r="C1397" s="3">
        <v>1</v>
      </c>
      <c r="D1397" s="3">
        <v>1</v>
      </c>
      <c r="E1397" s="3">
        <v>1</v>
      </c>
      <c r="F1397" s="3">
        <v>0</v>
      </c>
      <c r="G1397" s="3">
        <v>0</v>
      </c>
      <c r="I1397">
        <v>1090</v>
      </c>
      <c r="J1397">
        <v>1052</v>
      </c>
      <c r="K1397">
        <v>788</v>
      </c>
      <c r="L1397">
        <v>2</v>
      </c>
    </row>
    <row r="1398" spans="1:12" x14ac:dyDescent="0.25">
      <c r="A1398" t="s">
        <v>42</v>
      </c>
      <c r="B1398" t="s">
        <v>185</v>
      </c>
      <c r="C1398">
        <f>17+1</f>
        <v>18</v>
      </c>
      <c r="D1398">
        <f>17+1</f>
        <v>18</v>
      </c>
      <c r="E1398">
        <f>8+5</f>
        <v>13</v>
      </c>
      <c r="F1398">
        <f>10-6+1</f>
        <v>5</v>
      </c>
      <c r="G1398">
        <v>0</v>
      </c>
    </row>
    <row r="1399" spans="1:12" x14ac:dyDescent="0.25">
      <c r="A1399" s="3" t="s">
        <v>42</v>
      </c>
      <c r="B1399" s="3" t="s">
        <v>185</v>
      </c>
      <c r="C1399" s="3">
        <v>13</v>
      </c>
      <c r="D1399" s="3">
        <v>13</v>
      </c>
      <c r="E1399" s="3">
        <v>9</v>
      </c>
      <c r="F1399" s="3">
        <v>4</v>
      </c>
      <c r="G1399" s="3">
        <v>0</v>
      </c>
    </row>
    <row r="1400" spans="1:12" x14ac:dyDescent="0.25">
      <c r="A1400" t="s">
        <v>42</v>
      </c>
      <c r="B1400" t="s">
        <v>186</v>
      </c>
      <c r="C1400">
        <f>23+1</f>
        <v>24</v>
      </c>
      <c r="D1400">
        <v>22</v>
      </c>
      <c r="E1400">
        <f>12+8</f>
        <v>20</v>
      </c>
      <c r="F1400">
        <f>11-11+2</f>
        <v>2</v>
      </c>
      <c r="G1400">
        <v>0</v>
      </c>
    </row>
    <row r="1401" spans="1:12" x14ac:dyDescent="0.25">
      <c r="A1401" s="3" t="s">
        <v>42</v>
      </c>
      <c r="B1401" s="3" t="s">
        <v>186</v>
      </c>
      <c r="C1401" s="3">
        <v>20</v>
      </c>
      <c r="D1401" s="3">
        <v>19</v>
      </c>
      <c r="E1401" s="3">
        <v>17</v>
      </c>
      <c r="F1401" s="3">
        <v>2</v>
      </c>
      <c r="G1401" s="3">
        <v>0</v>
      </c>
    </row>
    <row r="1402" spans="1:12" x14ac:dyDescent="0.25">
      <c r="A1402" t="s">
        <v>42</v>
      </c>
      <c r="B1402" t="s">
        <v>187</v>
      </c>
      <c r="C1402">
        <f>39+4</f>
        <v>43</v>
      </c>
      <c r="D1402">
        <f>39+4</f>
        <v>43</v>
      </c>
      <c r="E1402">
        <f>29+10</f>
        <v>39</v>
      </c>
      <c r="F1402">
        <f>14-12+2</f>
        <v>4</v>
      </c>
      <c r="G1402">
        <v>0</v>
      </c>
    </row>
    <row r="1403" spans="1:12" x14ac:dyDescent="0.25">
      <c r="A1403" s="3" t="s">
        <v>42</v>
      </c>
      <c r="B1403" s="3" t="s">
        <v>187</v>
      </c>
      <c r="C1403" s="3">
        <v>25</v>
      </c>
      <c r="D1403" s="3">
        <v>25</v>
      </c>
      <c r="E1403" s="3">
        <v>20</v>
      </c>
      <c r="F1403" s="3">
        <v>5</v>
      </c>
      <c r="G1403" s="3">
        <v>0</v>
      </c>
    </row>
    <row r="1404" spans="1:12" x14ac:dyDescent="0.25">
      <c r="A1404" t="s">
        <v>42</v>
      </c>
      <c r="B1404" t="s">
        <v>6</v>
      </c>
      <c r="C1404">
        <v>5</v>
      </c>
      <c r="D1404">
        <v>5</v>
      </c>
      <c r="E1404">
        <v>5</v>
      </c>
      <c r="F1404">
        <v>0</v>
      </c>
      <c r="G1404">
        <v>0</v>
      </c>
    </row>
    <row r="1405" spans="1:12" x14ac:dyDescent="0.25">
      <c r="A1405" s="3" t="s">
        <v>42</v>
      </c>
      <c r="B1405" s="3" t="s">
        <v>6</v>
      </c>
      <c r="C1405" s="3">
        <v>1</v>
      </c>
      <c r="D1405" s="3">
        <v>1</v>
      </c>
      <c r="E1405" s="3">
        <v>1</v>
      </c>
      <c r="F1405" s="3">
        <v>0</v>
      </c>
      <c r="G1405" s="3">
        <v>0</v>
      </c>
    </row>
    <row r="1406" spans="1:12" x14ac:dyDescent="0.25">
      <c r="A1406" t="s">
        <v>42</v>
      </c>
      <c r="B1406" t="s">
        <v>7</v>
      </c>
      <c r="C1406">
        <v>5</v>
      </c>
      <c r="D1406">
        <v>5</v>
      </c>
      <c r="E1406">
        <v>4</v>
      </c>
      <c r="F1406">
        <v>1</v>
      </c>
      <c r="G1406">
        <v>0</v>
      </c>
    </row>
    <row r="1407" spans="1:12" x14ac:dyDescent="0.25">
      <c r="A1407" t="s">
        <v>42</v>
      </c>
      <c r="B1407" t="s">
        <v>8</v>
      </c>
      <c r="C1407">
        <v>6</v>
      </c>
      <c r="D1407">
        <v>6</v>
      </c>
      <c r="E1407">
        <v>5</v>
      </c>
      <c r="F1407">
        <v>1</v>
      </c>
      <c r="G1407">
        <v>0</v>
      </c>
    </row>
    <row r="1408" spans="1:12" x14ac:dyDescent="0.25">
      <c r="A1408" s="3" t="s">
        <v>42</v>
      </c>
      <c r="B1408" s="3" t="s">
        <v>8</v>
      </c>
      <c r="C1408" s="3">
        <v>2</v>
      </c>
      <c r="D1408" s="3">
        <v>2</v>
      </c>
      <c r="E1408" s="3">
        <v>2</v>
      </c>
      <c r="F1408" s="3">
        <v>0</v>
      </c>
      <c r="G1408" s="3">
        <v>0</v>
      </c>
    </row>
    <row r="1409" spans="1:12" x14ac:dyDescent="0.25">
      <c r="A1409" t="s">
        <v>42</v>
      </c>
      <c r="B1409" t="s">
        <v>9</v>
      </c>
      <c r="C1409">
        <v>5</v>
      </c>
      <c r="D1409">
        <v>5</v>
      </c>
      <c r="E1409">
        <v>5</v>
      </c>
      <c r="F1409">
        <v>0</v>
      </c>
      <c r="G1409">
        <v>0</v>
      </c>
    </row>
    <row r="1410" spans="1:12" x14ac:dyDescent="0.25">
      <c r="A1410" t="s">
        <v>42</v>
      </c>
      <c r="B1410" t="s">
        <v>10</v>
      </c>
      <c r="C1410">
        <v>32</v>
      </c>
      <c r="D1410">
        <v>32</v>
      </c>
      <c r="E1410">
        <v>30</v>
      </c>
      <c r="F1410">
        <v>2</v>
      </c>
      <c r="G1410">
        <v>0</v>
      </c>
    </row>
    <row r="1411" spans="1:12" x14ac:dyDescent="0.25">
      <c r="A1411" s="3" t="s">
        <v>42</v>
      </c>
      <c r="B1411" s="3" t="s">
        <v>10</v>
      </c>
      <c r="C1411" s="3">
        <v>23</v>
      </c>
      <c r="D1411" s="3">
        <v>23</v>
      </c>
      <c r="E1411" s="3">
        <v>18</v>
      </c>
      <c r="F1411" s="3">
        <v>5</v>
      </c>
      <c r="G1411" s="3">
        <v>0</v>
      </c>
    </row>
    <row r="1412" spans="1:12" x14ac:dyDescent="0.25">
      <c r="A1412" t="s">
        <v>42</v>
      </c>
      <c r="B1412" t="s">
        <v>177</v>
      </c>
      <c r="C1412">
        <v>7</v>
      </c>
      <c r="D1412">
        <v>6</v>
      </c>
      <c r="E1412">
        <v>5</v>
      </c>
      <c r="F1412">
        <v>1</v>
      </c>
      <c r="G1412">
        <v>0</v>
      </c>
    </row>
    <row r="1413" spans="1:12" x14ac:dyDescent="0.25">
      <c r="A1413" s="3" t="s">
        <v>42</v>
      </c>
      <c r="B1413" s="3" t="s">
        <v>177</v>
      </c>
      <c r="C1413" s="3">
        <v>4</v>
      </c>
      <c r="D1413" s="3">
        <v>4</v>
      </c>
      <c r="E1413" s="3">
        <v>4</v>
      </c>
      <c r="F1413" s="3">
        <v>0</v>
      </c>
      <c r="G1413" s="3">
        <v>0</v>
      </c>
    </row>
    <row r="1414" spans="1:12" x14ac:dyDescent="0.25">
      <c r="A1414" s="3" t="s">
        <v>58</v>
      </c>
      <c r="B1414" s="3" t="s">
        <v>2</v>
      </c>
      <c r="C1414" s="3">
        <v>1</v>
      </c>
      <c r="D1414" s="3">
        <v>1</v>
      </c>
      <c r="E1414" s="3">
        <v>1</v>
      </c>
      <c r="F1414" s="3">
        <v>0</v>
      </c>
      <c r="G1414" s="3">
        <v>0</v>
      </c>
    </row>
    <row r="1415" spans="1:12" x14ac:dyDescent="0.25">
      <c r="A1415" t="s">
        <v>58</v>
      </c>
      <c r="B1415" t="s">
        <v>4</v>
      </c>
      <c r="C1415">
        <v>1</v>
      </c>
      <c r="D1415">
        <v>0</v>
      </c>
      <c r="E1415">
        <v>0</v>
      </c>
      <c r="F1415">
        <v>0</v>
      </c>
      <c r="G1415">
        <v>0</v>
      </c>
    </row>
    <row r="1416" spans="1:12" x14ac:dyDescent="0.25">
      <c r="A1416" t="s">
        <v>58</v>
      </c>
      <c r="B1416" t="s">
        <v>5</v>
      </c>
      <c r="C1416">
        <v>9</v>
      </c>
      <c r="D1416">
        <v>9</v>
      </c>
      <c r="E1416">
        <v>8</v>
      </c>
      <c r="F1416">
        <v>1</v>
      </c>
      <c r="G1416">
        <v>0</v>
      </c>
    </row>
    <row r="1417" spans="1:12" x14ac:dyDescent="0.25">
      <c r="A1417" s="3" t="s">
        <v>58</v>
      </c>
      <c r="B1417" s="3" t="s">
        <v>5</v>
      </c>
      <c r="C1417" s="3">
        <v>10</v>
      </c>
      <c r="D1417" s="3">
        <v>10</v>
      </c>
      <c r="E1417" s="3">
        <f>7+2</f>
        <v>9</v>
      </c>
      <c r="F1417" s="3">
        <f>3-2+0</f>
        <v>1</v>
      </c>
      <c r="G1417" s="3">
        <v>0</v>
      </c>
    </row>
    <row r="1418" spans="1:12" x14ac:dyDescent="0.25">
      <c r="A1418" t="s">
        <v>58</v>
      </c>
      <c r="B1418" t="s">
        <v>185</v>
      </c>
      <c r="C1418">
        <f>30+5</f>
        <v>35</v>
      </c>
      <c r="D1418">
        <v>34</v>
      </c>
      <c r="E1418">
        <f>26+6</f>
        <v>32</v>
      </c>
      <c r="F1418">
        <f>9-7+0</f>
        <v>2</v>
      </c>
      <c r="G1418">
        <v>0</v>
      </c>
      <c r="I1418">
        <v>1391</v>
      </c>
      <c r="J1418">
        <v>1372</v>
      </c>
      <c r="K1418">
        <v>1087</v>
      </c>
      <c r="L1418">
        <v>3</v>
      </c>
    </row>
    <row r="1419" spans="1:12" x14ac:dyDescent="0.25">
      <c r="A1419" s="3" t="s">
        <v>58</v>
      </c>
      <c r="B1419" s="3" t="s">
        <v>185</v>
      </c>
      <c r="C1419" s="3">
        <v>37</v>
      </c>
      <c r="D1419" s="3">
        <v>37</v>
      </c>
      <c r="E1419" s="3">
        <v>31</v>
      </c>
      <c r="F1419" s="3">
        <v>6</v>
      </c>
      <c r="G1419" s="3">
        <v>1</v>
      </c>
    </row>
    <row r="1420" spans="1:12" x14ac:dyDescent="0.25">
      <c r="A1420" t="s">
        <v>58</v>
      </c>
      <c r="B1420" t="s">
        <v>186</v>
      </c>
      <c r="C1420">
        <v>27</v>
      </c>
      <c r="D1420">
        <v>27</v>
      </c>
      <c r="E1420">
        <v>26</v>
      </c>
      <c r="F1420">
        <v>1</v>
      </c>
      <c r="G1420">
        <v>0</v>
      </c>
    </row>
    <row r="1421" spans="1:12" x14ac:dyDescent="0.25">
      <c r="A1421" s="3" t="s">
        <v>58</v>
      </c>
      <c r="B1421" s="3" t="s">
        <v>186</v>
      </c>
      <c r="C1421" s="3">
        <v>31</v>
      </c>
      <c r="D1421" s="3">
        <v>26</v>
      </c>
      <c r="E1421" s="3">
        <v>22</v>
      </c>
      <c r="F1421" s="3">
        <v>4</v>
      </c>
      <c r="G1421" s="3">
        <v>1</v>
      </c>
    </row>
    <row r="1422" spans="1:12" x14ac:dyDescent="0.25">
      <c r="A1422" t="s">
        <v>58</v>
      </c>
      <c r="B1422" t="s">
        <v>187</v>
      </c>
      <c r="C1422">
        <v>50</v>
      </c>
      <c r="D1422">
        <v>50</v>
      </c>
      <c r="E1422">
        <f>44+4</f>
        <v>48</v>
      </c>
      <c r="F1422">
        <f>6-5+1</f>
        <v>2</v>
      </c>
      <c r="G1422">
        <v>0</v>
      </c>
    </row>
    <row r="1423" spans="1:12" x14ac:dyDescent="0.25">
      <c r="A1423" s="3" t="s">
        <v>58</v>
      </c>
      <c r="B1423" s="3" t="s">
        <v>187</v>
      </c>
      <c r="C1423" s="3">
        <v>32</v>
      </c>
      <c r="D1423" s="3">
        <v>30</v>
      </c>
      <c r="E1423" s="3">
        <v>28</v>
      </c>
      <c r="F1423" s="3">
        <v>2</v>
      </c>
      <c r="G1423" s="3">
        <v>0</v>
      </c>
    </row>
    <row r="1424" spans="1:12" x14ac:dyDescent="0.25">
      <c r="A1424" t="s">
        <v>58</v>
      </c>
      <c r="B1424" t="s">
        <v>6</v>
      </c>
      <c r="C1424">
        <v>13</v>
      </c>
      <c r="D1424">
        <v>13</v>
      </c>
      <c r="E1424">
        <v>13</v>
      </c>
      <c r="F1424">
        <v>0</v>
      </c>
      <c r="G1424">
        <v>0</v>
      </c>
    </row>
    <row r="1425" spans="1:7" x14ac:dyDescent="0.25">
      <c r="A1425" s="3" t="s">
        <v>58</v>
      </c>
      <c r="B1425" s="3" t="s">
        <v>6</v>
      </c>
      <c r="C1425" s="3">
        <v>5</v>
      </c>
      <c r="D1425" s="3">
        <v>5</v>
      </c>
      <c r="E1425" s="3">
        <v>5</v>
      </c>
      <c r="F1425" s="3">
        <v>0</v>
      </c>
      <c r="G1425" s="3">
        <v>0</v>
      </c>
    </row>
    <row r="1426" spans="1:7" x14ac:dyDescent="0.25">
      <c r="A1426" t="s">
        <v>58</v>
      </c>
      <c r="B1426" t="s">
        <v>8</v>
      </c>
      <c r="C1426">
        <v>13</v>
      </c>
      <c r="D1426">
        <v>13</v>
      </c>
      <c r="E1426">
        <v>13</v>
      </c>
      <c r="F1426">
        <v>0</v>
      </c>
      <c r="G1426">
        <v>0</v>
      </c>
    </row>
    <row r="1427" spans="1:7" x14ac:dyDescent="0.25">
      <c r="A1427" s="3" t="s">
        <v>58</v>
      </c>
      <c r="B1427" s="3" t="s">
        <v>8</v>
      </c>
      <c r="C1427" s="3">
        <v>9</v>
      </c>
      <c r="D1427" s="3">
        <v>9</v>
      </c>
      <c r="E1427" s="3">
        <v>9</v>
      </c>
      <c r="F1427" s="3">
        <v>0</v>
      </c>
      <c r="G1427" s="3">
        <v>0</v>
      </c>
    </row>
    <row r="1428" spans="1:7" x14ac:dyDescent="0.25">
      <c r="A1428" t="s">
        <v>58</v>
      </c>
      <c r="B1428" t="s">
        <v>9</v>
      </c>
      <c r="C1428">
        <v>6</v>
      </c>
      <c r="D1428">
        <v>6</v>
      </c>
      <c r="E1428">
        <v>6</v>
      </c>
      <c r="F1428">
        <v>0</v>
      </c>
      <c r="G1428">
        <v>0</v>
      </c>
    </row>
    <row r="1429" spans="1:7" x14ac:dyDescent="0.25">
      <c r="A1429" t="s">
        <v>58</v>
      </c>
      <c r="B1429" t="s">
        <v>10</v>
      </c>
      <c r="C1429">
        <v>57</v>
      </c>
      <c r="D1429">
        <v>57</v>
      </c>
      <c r="E1429">
        <v>56</v>
      </c>
      <c r="F1429">
        <v>1</v>
      </c>
      <c r="G1429">
        <v>0</v>
      </c>
    </row>
    <row r="1430" spans="1:7" x14ac:dyDescent="0.25">
      <c r="A1430" s="3" t="s">
        <v>58</v>
      </c>
      <c r="B1430" s="3" t="s">
        <v>10</v>
      </c>
      <c r="C1430" s="3">
        <v>31</v>
      </c>
      <c r="D1430" s="3">
        <v>31</v>
      </c>
      <c r="E1430" s="3">
        <v>29</v>
      </c>
      <c r="F1430" s="3">
        <v>2</v>
      </c>
      <c r="G1430" s="3">
        <v>0</v>
      </c>
    </row>
    <row r="1431" spans="1:7" x14ac:dyDescent="0.25">
      <c r="A1431" t="s">
        <v>58</v>
      </c>
      <c r="B1431" t="s">
        <v>177</v>
      </c>
      <c r="C1431">
        <v>5</v>
      </c>
      <c r="D1431">
        <v>5</v>
      </c>
      <c r="E1431">
        <v>5</v>
      </c>
      <c r="F1431">
        <v>0</v>
      </c>
      <c r="G1431">
        <v>0</v>
      </c>
    </row>
    <row r="1432" spans="1:7" x14ac:dyDescent="0.25">
      <c r="A1432" s="3" t="s">
        <v>58</v>
      </c>
      <c r="B1432" s="3" t="s">
        <v>177</v>
      </c>
      <c r="C1432" s="3">
        <v>6</v>
      </c>
      <c r="D1432" s="3">
        <v>6</v>
      </c>
      <c r="E1432" s="3">
        <v>5</v>
      </c>
      <c r="F1432" s="3">
        <v>1</v>
      </c>
      <c r="G1432" s="3">
        <v>0</v>
      </c>
    </row>
    <row r="1433" spans="1:7" x14ac:dyDescent="0.25">
      <c r="A1433" t="s">
        <v>144</v>
      </c>
      <c r="B1433" t="s">
        <v>2</v>
      </c>
      <c r="C1433">
        <v>11</v>
      </c>
      <c r="D1433">
        <v>10</v>
      </c>
      <c r="E1433">
        <v>7</v>
      </c>
      <c r="F1433">
        <v>3</v>
      </c>
      <c r="G1433">
        <v>0</v>
      </c>
    </row>
    <row r="1434" spans="1:7" x14ac:dyDescent="0.25">
      <c r="A1434" s="3" t="s">
        <v>144</v>
      </c>
      <c r="B1434" s="3" t="s">
        <v>27</v>
      </c>
      <c r="C1434" s="3">
        <v>3</v>
      </c>
      <c r="D1434" s="3">
        <v>0</v>
      </c>
      <c r="E1434" s="3">
        <v>0</v>
      </c>
      <c r="F1434" s="3">
        <v>0</v>
      </c>
      <c r="G1434" s="3">
        <v>0</v>
      </c>
    </row>
    <row r="1435" spans="1:7" x14ac:dyDescent="0.25">
      <c r="A1435" t="s">
        <v>144</v>
      </c>
      <c r="B1435" t="s">
        <v>4</v>
      </c>
      <c r="C1435">
        <v>1</v>
      </c>
      <c r="D1435">
        <v>0</v>
      </c>
      <c r="E1435">
        <v>0</v>
      </c>
      <c r="F1435">
        <v>0</v>
      </c>
      <c r="G1435">
        <v>0</v>
      </c>
    </row>
    <row r="1436" spans="1:7" x14ac:dyDescent="0.25">
      <c r="A1436" t="s">
        <v>144</v>
      </c>
      <c r="B1436" t="s">
        <v>5</v>
      </c>
      <c r="C1436">
        <v>12</v>
      </c>
      <c r="D1436">
        <v>12</v>
      </c>
      <c r="E1436">
        <v>9</v>
      </c>
      <c r="F1436">
        <v>3</v>
      </c>
      <c r="G1436">
        <v>0</v>
      </c>
    </row>
    <row r="1437" spans="1:7" x14ac:dyDescent="0.25">
      <c r="A1437" s="3" t="s">
        <v>144</v>
      </c>
      <c r="B1437" s="3" t="s">
        <v>5</v>
      </c>
      <c r="C1437" s="3">
        <v>11</v>
      </c>
      <c r="D1437" s="3">
        <v>11</v>
      </c>
      <c r="E1437" s="3">
        <f>6+4</f>
        <v>10</v>
      </c>
      <c r="F1437" s="3">
        <f>5-5+1</f>
        <v>1</v>
      </c>
      <c r="G1437" s="3">
        <v>0</v>
      </c>
    </row>
    <row r="1438" spans="1:7" x14ac:dyDescent="0.25">
      <c r="A1438" t="s">
        <v>144</v>
      </c>
      <c r="B1438" t="s">
        <v>185</v>
      </c>
      <c r="C1438">
        <f>24+1</f>
        <v>25</v>
      </c>
      <c r="D1438">
        <f>24+1</f>
        <v>25</v>
      </c>
      <c r="E1438">
        <f>22+1</f>
        <v>23</v>
      </c>
      <c r="F1438">
        <f>3-2+1</f>
        <v>2</v>
      </c>
      <c r="G1438">
        <v>0</v>
      </c>
    </row>
    <row r="1439" spans="1:7" x14ac:dyDescent="0.25">
      <c r="A1439" s="3" t="s">
        <v>144</v>
      </c>
      <c r="B1439" s="3" t="s">
        <v>185</v>
      </c>
      <c r="C1439" s="3">
        <v>15</v>
      </c>
      <c r="D1439" s="3">
        <v>15</v>
      </c>
      <c r="E1439" s="3">
        <v>14</v>
      </c>
      <c r="F1439" s="3">
        <v>1</v>
      </c>
      <c r="G1439" s="3">
        <v>0</v>
      </c>
    </row>
    <row r="1440" spans="1:7" x14ac:dyDescent="0.25">
      <c r="A1440" t="s">
        <v>144</v>
      </c>
      <c r="B1440" t="s">
        <v>186</v>
      </c>
      <c r="C1440">
        <v>32</v>
      </c>
      <c r="D1440">
        <v>30</v>
      </c>
      <c r="E1440">
        <v>22</v>
      </c>
      <c r="F1440">
        <v>8</v>
      </c>
      <c r="G1440">
        <v>0</v>
      </c>
    </row>
    <row r="1441" spans="1:7" x14ac:dyDescent="0.25">
      <c r="A1441" s="3" t="s">
        <v>144</v>
      </c>
      <c r="B1441" s="3" t="s">
        <v>186</v>
      </c>
      <c r="C1441" s="3">
        <v>30</v>
      </c>
      <c r="D1441" s="3">
        <v>28</v>
      </c>
      <c r="E1441" s="3">
        <f>20+5</f>
        <v>25</v>
      </c>
      <c r="F1441" s="3">
        <f>8-6+1</f>
        <v>3</v>
      </c>
      <c r="G1441" s="3">
        <v>0</v>
      </c>
    </row>
    <row r="1442" spans="1:7" x14ac:dyDescent="0.25">
      <c r="A1442" t="s">
        <v>144</v>
      </c>
      <c r="B1442" t="s">
        <v>189</v>
      </c>
      <c r="C1442">
        <v>3</v>
      </c>
      <c r="D1442">
        <v>3</v>
      </c>
      <c r="E1442">
        <v>3</v>
      </c>
      <c r="F1442">
        <v>0</v>
      </c>
      <c r="G1442">
        <v>0</v>
      </c>
    </row>
    <row r="1443" spans="1:7" x14ac:dyDescent="0.25">
      <c r="A1443" t="s">
        <v>144</v>
      </c>
      <c r="B1443" t="s">
        <v>187</v>
      </c>
      <c r="C1443">
        <v>32</v>
      </c>
      <c r="D1443">
        <v>32</v>
      </c>
      <c r="E1443">
        <f>22+4</f>
        <v>26</v>
      </c>
      <c r="F1443">
        <f>10-4+0</f>
        <v>6</v>
      </c>
      <c r="G1443">
        <v>0</v>
      </c>
    </row>
    <row r="1444" spans="1:7" x14ac:dyDescent="0.25">
      <c r="A1444" s="3" t="s">
        <v>144</v>
      </c>
      <c r="B1444" s="3" t="s">
        <v>187</v>
      </c>
      <c r="C1444" s="3">
        <v>22</v>
      </c>
      <c r="D1444" s="3">
        <v>21</v>
      </c>
      <c r="E1444" s="3">
        <v>18</v>
      </c>
      <c r="F1444" s="3">
        <v>3</v>
      </c>
      <c r="G1444" s="3">
        <v>0</v>
      </c>
    </row>
    <row r="1445" spans="1:7" x14ac:dyDescent="0.25">
      <c r="A1445" t="s">
        <v>144</v>
      </c>
      <c r="B1445" t="s">
        <v>6</v>
      </c>
      <c r="C1445">
        <v>9</v>
      </c>
      <c r="D1445">
        <v>8</v>
      </c>
      <c r="E1445">
        <v>8</v>
      </c>
      <c r="F1445">
        <v>0</v>
      </c>
      <c r="G1445">
        <v>0</v>
      </c>
    </row>
    <row r="1446" spans="1:7" x14ac:dyDescent="0.25">
      <c r="A1446" s="3" t="s">
        <v>144</v>
      </c>
      <c r="B1446" s="3" t="s">
        <v>6</v>
      </c>
      <c r="C1446" s="3">
        <v>10</v>
      </c>
      <c r="D1446" s="3">
        <v>8</v>
      </c>
      <c r="E1446" s="3">
        <v>8</v>
      </c>
      <c r="F1446" s="3">
        <v>0</v>
      </c>
      <c r="G1446" s="3">
        <v>0</v>
      </c>
    </row>
    <row r="1447" spans="1:7" x14ac:dyDescent="0.25">
      <c r="A1447" t="s">
        <v>144</v>
      </c>
      <c r="B1447" t="s">
        <v>7</v>
      </c>
      <c r="C1447">
        <v>4</v>
      </c>
      <c r="D1447">
        <v>3</v>
      </c>
      <c r="E1447">
        <v>3</v>
      </c>
      <c r="F1447">
        <v>0</v>
      </c>
      <c r="G1447">
        <v>0</v>
      </c>
    </row>
    <row r="1448" spans="1:7" x14ac:dyDescent="0.25">
      <c r="A1448" s="3" t="s">
        <v>144</v>
      </c>
      <c r="B1448" s="3" t="s">
        <v>7</v>
      </c>
      <c r="C1448" s="3">
        <v>2</v>
      </c>
      <c r="D1448" s="3">
        <v>2</v>
      </c>
      <c r="E1448" s="3">
        <v>2</v>
      </c>
      <c r="F1448" s="3">
        <v>0</v>
      </c>
      <c r="G1448" s="3">
        <v>0</v>
      </c>
    </row>
    <row r="1449" spans="1:7" x14ac:dyDescent="0.25">
      <c r="A1449" t="s">
        <v>144</v>
      </c>
      <c r="B1449" t="s">
        <v>8</v>
      </c>
      <c r="C1449">
        <v>17</v>
      </c>
      <c r="D1449">
        <v>4</v>
      </c>
      <c r="E1449">
        <v>0</v>
      </c>
      <c r="F1449">
        <v>4</v>
      </c>
      <c r="G1449">
        <v>0</v>
      </c>
    </row>
    <row r="1450" spans="1:7" x14ac:dyDescent="0.25">
      <c r="A1450" s="3" t="s">
        <v>144</v>
      </c>
      <c r="B1450" s="3" t="s">
        <v>8</v>
      </c>
      <c r="C1450" s="3">
        <v>9</v>
      </c>
      <c r="D1450" s="3">
        <v>6</v>
      </c>
      <c r="E1450" s="3">
        <v>1</v>
      </c>
      <c r="F1450" s="3">
        <v>5</v>
      </c>
      <c r="G1450" s="3">
        <v>0</v>
      </c>
    </row>
    <row r="1451" spans="1:7" x14ac:dyDescent="0.25">
      <c r="A1451" t="s">
        <v>144</v>
      </c>
      <c r="B1451" t="s">
        <v>9</v>
      </c>
      <c r="C1451">
        <v>6</v>
      </c>
      <c r="D1451">
        <v>0</v>
      </c>
      <c r="E1451">
        <v>0</v>
      </c>
      <c r="F1451">
        <v>0</v>
      </c>
      <c r="G1451">
        <v>0</v>
      </c>
    </row>
    <row r="1452" spans="1:7" x14ac:dyDescent="0.25">
      <c r="A1452" s="3" t="s">
        <v>144</v>
      </c>
      <c r="B1452" s="3" t="s">
        <v>9</v>
      </c>
      <c r="C1452" s="3">
        <v>6</v>
      </c>
      <c r="D1452" s="3">
        <v>4</v>
      </c>
      <c r="E1452" s="3">
        <v>2</v>
      </c>
      <c r="F1452" s="3">
        <v>2</v>
      </c>
      <c r="G1452" s="3">
        <v>0</v>
      </c>
    </row>
    <row r="1453" spans="1:7" x14ac:dyDescent="0.25">
      <c r="A1453" t="s">
        <v>144</v>
      </c>
      <c r="B1453" t="s">
        <v>10</v>
      </c>
      <c r="C1453">
        <v>42</v>
      </c>
      <c r="D1453">
        <v>42</v>
      </c>
      <c r="E1453">
        <v>39</v>
      </c>
      <c r="F1453">
        <v>3</v>
      </c>
      <c r="G1453">
        <v>0</v>
      </c>
    </row>
    <row r="1454" spans="1:7" x14ac:dyDescent="0.25">
      <c r="A1454" s="3" t="s">
        <v>144</v>
      </c>
      <c r="B1454" s="3" t="s">
        <v>10</v>
      </c>
      <c r="C1454" s="3">
        <v>21</v>
      </c>
      <c r="D1454" s="3">
        <v>21</v>
      </c>
      <c r="E1454" s="3">
        <v>20</v>
      </c>
      <c r="F1454" s="3">
        <v>1</v>
      </c>
      <c r="G1454" s="3">
        <v>0</v>
      </c>
    </row>
    <row r="1455" spans="1:7" x14ac:dyDescent="0.25">
      <c r="A1455" t="s">
        <v>144</v>
      </c>
      <c r="B1455" t="s">
        <v>177</v>
      </c>
      <c r="C1455">
        <v>14</v>
      </c>
      <c r="D1455">
        <v>13</v>
      </c>
      <c r="E1455">
        <v>13</v>
      </c>
      <c r="F1455">
        <v>0</v>
      </c>
      <c r="G1455">
        <v>0</v>
      </c>
    </row>
    <row r="1456" spans="1:7" x14ac:dyDescent="0.25">
      <c r="A1456" s="3" t="s">
        <v>144</v>
      </c>
      <c r="B1456" s="3" t="s">
        <v>177</v>
      </c>
      <c r="C1456" s="3">
        <v>8</v>
      </c>
      <c r="D1456" s="3">
        <v>6</v>
      </c>
      <c r="E1456" s="3">
        <v>6</v>
      </c>
      <c r="F1456" s="3">
        <v>0</v>
      </c>
      <c r="G1456" s="3">
        <v>0</v>
      </c>
    </row>
    <row r="1457" spans="1:7" x14ac:dyDescent="0.25">
      <c r="A1457" t="s">
        <v>28</v>
      </c>
      <c r="B1457" t="s">
        <v>2</v>
      </c>
      <c r="C1457">
        <v>4</v>
      </c>
      <c r="D1457">
        <v>2</v>
      </c>
      <c r="E1457">
        <v>2</v>
      </c>
      <c r="F1457">
        <v>0</v>
      </c>
      <c r="G1457">
        <v>0</v>
      </c>
    </row>
    <row r="1458" spans="1:7" x14ac:dyDescent="0.25">
      <c r="A1458" s="3" t="s">
        <v>28</v>
      </c>
      <c r="B1458" s="3" t="s">
        <v>2</v>
      </c>
      <c r="C1458" s="3">
        <v>5</v>
      </c>
      <c r="D1458" s="3">
        <v>4</v>
      </c>
      <c r="E1458" s="3">
        <v>4</v>
      </c>
      <c r="F1458" s="3">
        <v>0</v>
      </c>
      <c r="G1458" s="3">
        <v>0</v>
      </c>
    </row>
    <row r="1459" spans="1:7" x14ac:dyDescent="0.25">
      <c r="A1459" t="s">
        <v>28</v>
      </c>
      <c r="B1459" t="s">
        <v>4</v>
      </c>
      <c r="C1459">
        <v>5</v>
      </c>
      <c r="D1459">
        <v>0</v>
      </c>
      <c r="E1459">
        <v>0</v>
      </c>
      <c r="F1459">
        <v>0</v>
      </c>
      <c r="G1459">
        <v>0</v>
      </c>
    </row>
    <row r="1460" spans="1:7" x14ac:dyDescent="0.25">
      <c r="A1460" t="s">
        <v>28</v>
      </c>
      <c r="B1460" t="s">
        <v>5</v>
      </c>
      <c r="C1460">
        <v>38</v>
      </c>
      <c r="D1460">
        <v>38</v>
      </c>
      <c r="E1460">
        <v>30</v>
      </c>
      <c r="F1460">
        <v>8</v>
      </c>
      <c r="G1460">
        <v>0</v>
      </c>
    </row>
    <row r="1461" spans="1:7" x14ac:dyDescent="0.25">
      <c r="A1461" s="3" t="s">
        <v>28</v>
      </c>
      <c r="B1461" s="3" t="s">
        <v>5</v>
      </c>
      <c r="C1461" s="3">
        <v>19</v>
      </c>
      <c r="D1461" s="3">
        <v>18</v>
      </c>
      <c r="E1461" s="3">
        <f>16+1</f>
        <v>17</v>
      </c>
      <c r="F1461" s="3">
        <f>2-2+1</f>
        <v>1</v>
      </c>
      <c r="G1461" s="3">
        <v>0</v>
      </c>
    </row>
    <row r="1462" spans="1:7" x14ac:dyDescent="0.25">
      <c r="A1462" t="s">
        <v>28</v>
      </c>
      <c r="B1462" t="s">
        <v>185</v>
      </c>
      <c r="C1462">
        <f>33+15</f>
        <v>48</v>
      </c>
      <c r="D1462">
        <f>33+15</f>
        <v>48</v>
      </c>
      <c r="E1462">
        <f>39+2</f>
        <v>41</v>
      </c>
      <c r="F1462">
        <f>9-4+2</f>
        <v>7</v>
      </c>
      <c r="G1462">
        <v>0</v>
      </c>
    </row>
    <row r="1463" spans="1:7" x14ac:dyDescent="0.25">
      <c r="A1463" s="3" t="s">
        <v>28</v>
      </c>
      <c r="B1463" s="3" t="s">
        <v>185</v>
      </c>
      <c r="C1463" s="3">
        <v>36</v>
      </c>
      <c r="D1463" s="3">
        <v>36</v>
      </c>
      <c r="E1463" s="3">
        <v>35</v>
      </c>
      <c r="F1463" s="3">
        <v>1</v>
      </c>
      <c r="G1463" s="3">
        <v>0</v>
      </c>
    </row>
    <row r="1464" spans="1:7" x14ac:dyDescent="0.25">
      <c r="A1464" t="s">
        <v>28</v>
      </c>
      <c r="B1464" t="s">
        <v>186</v>
      </c>
      <c r="C1464">
        <f>74+2</f>
        <v>76</v>
      </c>
      <c r="D1464">
        <v>72</v>
      </c>
      <c r="E1464">
        <f>56+9</f>
        <v>65</v>
      </c>
      <c r="F1464">
        <f>17-12+2</f>
        <v>7</v>
      </c>
      <c r="G1464">
        <v>0</v>
      </c>
    </row>
    <row r="1465" spans="1:7" x14ac:dyDescent="0.25">
      <c r="A1465" s="3" t="s">
        <v>28</v>
      </c>
      <c r="B1465" s="3" t="s">
        <v>186</v>
      </c>
      <c r="C1465" s="3">
        <v>55</v>
      </c>
      <c r="D1465" s="3">
        <v>55</v>
      </c>
      <c r="E1465" s="3">
        <v>45</v>
      </c>
      <c r="F1465" s="3">
        <v>10</v>
      </c>
      <c r="G1465" s="3">
        <v>0</v>
      </c>
    </row>
    <row r="1466" spans="1:7" x14ac:dyDescent="0.25">
      <c r="A1466" t="s">
        <v>28</v>
      </c>
      <c r="B1466" t="s">
        <v>189</v>
      </c>
      <c r="C1466">
        <v>2</v>
      </c>
      <c r="D1466">
        <v>2</v>
      </c>
      <c r="E1466">
        <v>1</v>
      </c>
      <c r="F1466">
        <v>1</v>
      </c>
      <c r="G1466">
        <v>0</v>
      </c>
    </row>
    <row r="1467" spans="1:7" x14ac:dyDescent="0.25">
      <c r="A1467" t="s">
        <v>28</v>
      </c>
      <c r="B1467" t="s">
        <v>187</v>
      </c>
      <c r="C1467">
        <f>113+5</f>
        <v>118</v>
      </c>
      <c r="D1467">
        <v>117</v>
      </c>
      <c r="E1467">
        <f>96+11</f>
        <v>107</v>
      </c>
      <c r="F1467">
        <f>22-13+1</f>
        <v>10</v>
      </c>
      <c r="G1467">
        <v>0</v>
      </c>
    </row>
    <row r="1468" spans="1:7" x14ac:dyDescent="0.25">
      <c r="A1468" s="3" t="s">
        <v>28</v>
      </c>
      <c r="B1468" s="3" t="s">
        <v>187</v>
      </c>
      <c r="C1468" s="3">
        <v>76</v>
      </c>
      <c r="D1468" s="3">
        <v>75</v>
      </c>
      <c r="E1468" s="3">
        <v>69</v>
      </c>
      <c r="F1468" s="3">
        <v>6</v>
      </c>
      <c r="G1468" s="3">
        <v>1</v>
      </c>
    </row>
    <row r="1469" spans="1:7" x14ac:dyDescent="0.25">
      <c r="A1469" t="s">
        <v>28</v>
      </c>
      <c r="B1469" t="s">
        <v>6</v>
      </c>
      <c r="C1469">
        <v>71</v>
      </c>
      <c r="D1469">
        <v>71</v>
      </c>
      <c r="E1469">
        <v>71</v>
      </c>
      <c r="F1469">
        <v>0</v>
      </c>
      <c r="G1469">
        <v>0</v>
      </c>
    </row>
    <row r="1470" spans="1:7" x14ac:dyDescent="0.25">
      <c r="A1470" s="3" t="s">
        <v>28</v>
      </c>
      <c r="B1470" s="3" t="s">
        <v>6</v>
      </c>
      <c r="C1470" s="3">
        <v>11</v>
      </c>
      <c r="D1470" s="3">
        <v>11</v>
      </c>
      <c r="E1470" s="3">
        <v>11</v>
      </c>
      <c r="F1470" s="3">
        <v>0</v>
      </c>
      <c r="G1470" s="3">
        <v>0</v>
      </c>
    </row>
    <row r="1471" spans="1:7" x14ac:dyDescent="0.25">
      <c r="A1471" t="s">
        <v>28</v>
      </c>
      <c r="B1471" t="s">
        <v>7</v>
      </c>
      <c r="C1471">
        <v>9</v>
      </c>
      <c r="D1471">
        <v>8</v>
      </c>
      <c r="E1471">
        <v>6</v>
      </c>
      <c r="F1471">
        <v>2</v>
      </c>
      <c r="G1471">
        <v>0</v>
      </c>
    </row>
    <row r="1472" spans="1:7" x14ac:dyDescent="0.25">
      <c r="A1472" s="3" t="s">
        <v>28</v>
      </c>
      <c r="B1472" s="3" t="s">
        <v>7</v>
      </c>
      <c r="C1472" s="3">
        <v>13</v>
      </c>
      <c r="D1472" s="3">
        <v>13</v>
      </c>
      <c r="E1472" s="3">
        <v>7</v>
      </c>
      <c r="F1472" s="3">
        <v>6</v>
      </c>
      <c r="G1472" s="3">
        <v>0</v>
      </c>
    </row>
    <row r="1473" spans="1:7" x14ac:dyDescent="0.25">
      <c r="A1473" t="s">
        <v>28</v>
      </c>
      <c r="B1473" t="s">
        <v>8</v>
      </c>
      <c r="C1473">
        <v>32</v>
      </c>
      <c r="D1473">
        <v>32</v>
      </c>
      <c r="E1473">
        <v>28</v>
      </c>
      <c r="F1473">
        <v>4</v>
      </c>
      <c r="G1473">
        <v>0</v>
      </c>
    </row>
    <row r="1474" spans="1:7" x14ac:dyDescent="0.25">
      <c r="A1474" s="3" t="s">
        <v>28</v>
      </c>
      <c r="B1474" s="3" t="s">
        <v>8</v>
      </c>
      <c r="C1474" s="3">
        <v>9</v>
      </c>
      <c r="D1474" s="3">
        <v>9</v>
      </c>
      <c r="E1474" s="3">
        <v>9</v>
      </c>
      <c r="F1474" s="3">
        <v>0</v>
      </c>
      <c r="G1474" s="3">
        <v>0</v>
      </c>
    </row>
    <row r="1475" spans="1:7" x14ac:dyDescent="0.25">
      <c r="A1475" t="s">
        <v>28</v>
      </c>
      <c r="B1475" t="s">
        <v>9</v>
      </c>
      <c r="C1475">
        <v>16</v>
      </c>
      <c r="D1475">
        <v>16</v>
      </c>
      <c r="E1475">
        <v>14</v>
      </c>
      <c r="F1475">
        <v>2</v>
      </c>
      <c r="G1475">
        <v>0</v>
      </c>
    </row>
    <row r="1476" spans="1:7" x14ac:dyDescent="0.25">
      <c r="A1476" s="3" t="s">
        <v>28</v>
      </c>
      <c r="B1476" s="3" t="s">
        <v>9</v>
      </c>
      <c r="C1476" s="3">
        <v>5</v>
      </c>
      <c r="D1476" s="3">
        <v>5</v>
      </c>
      <c r="E1476" s="3">
        <v>5</v>
      </c>
      <c r="F1476" s="3">
        <v>0</v>
      </c>
      <c r="G1476" s="3">
        <v>0</v>
      </c>
    </row>
    <row r="1477" spans="1:7" x14ac:dyDescent="0.25">
      <c r="A1477" t="s">
        <v>28</v>
      </c>
      <c r="B1477" t="s">
        <v>10</v>
      </c>
      <c r="C1477">
        <v>63</v>
      </c>
      <c r="D1477">
        <v>63</v>
      </c>
      <c r="E1477">
        <v>63</v>
      </c>
      <c r="F1477">
        <v>0</v>
      </c>
      <c r="G1477">
        <v>0</v>
      </c>
    </row>
    <row r="1478" spans="1:7" x14ac:dyDescent="0.25">
      <c r="A1478" s="3" t="s">
        <v>28</v>
      </c>
      <c r="B1478" s="3" t="s">
        <v>10</v>
      </c>
      <c r="C1478" s="3">
        <v>46</v>
      </c>
      <c r="D1478" s="3">
        <v>46</v>
      </c>
      <c r="E1478" s="3">
        <v>40</v>
      </c>
      <c r="F1478" s="3">
        <v>6</v>
      </c>
      <c r="G1478" s="3">
        <v>0</v>
      </c>
    </row>
    <row r="1479" spans="1:7" x14ac:dyDescent="0.25">
      <c r="A1479" t="s">
        <v>28</v>
      </c>
      <c r="B1479" t="s">
        <v>177</v>
      </c>
      <c r="C1479">
        <v>30</v>
      </c>
      <c r="D1479">
        <v>30</v>
      </c>
      <c r="E1479">
        <v>25</v>
      </c>
      <c r="F1479">
        <v>5</v>
      </c>
      <c r="G1479">
        <v>0</v>
      </c>
    </row>
    <row r="1480" spans="1:7" x14ac:dyDescent="0.25">
      <c r="A1480" s="3" t="s">
        <v>28</v>
      </c>
      <c r="B1480" s="3" t="s">
        <v>177</v>
      </c>
      <c r="C1480" s="3">
        <v>12</v>
      </c>
      <c r="D1480" s="3">
        <v>11</v>
      </c>
      <c r="E1480" s="3">
        <v>11</v>
      </c>
      <c r="F1480" s="3">
        <v>0</v>
      </c>
      <c r="G1480" s="3">
        <v>0</v>
      </c>
    </row>
    <row r="1481" spans="1:7" x14ac:dyDescent="0.25">
      <c r="A1481" t="s">
        <v>118</v>
      </c>
      <c r="B1481" t="s">
        <v>2</v>
      </c>
      <c r="C1481">
        <v>1</v>
      </c>
      <c r="D1481">
        <v>1</v>
      </c>
      <c r="E1481">
        <v>1</v>
      </c>
      <c r="F1481">
        <v>0</v>
      </c>
      <c r="G1481">
        <v>0</v>
      </c>
    </row>
    <row r="1482" spans="1:7" x14ac:dyDescent="0.25">
      <c r="A1482" t="s">
        <v>118</v>
      </c>
      <c r="B1482" t="s">
        <v>97</v>
      </c>
      <c r="C1482">
        <v>1</v>
      </c>
      <c r="D1482">
        <v>0</v>
      </c>
      <c r="E1482">
        <v>0</v>
      </c>
      <c r="F1482">
        <v>0</v>
      </c>
      <c r="G1482">
        <v>0</v>
      </c>
    </row>
    <row r="1483" spans="1:7" x14ac:dyDescent="0.25">
      <c r="A1483" t="s">
        <v>118</v>
      </c>
      <c r="B1483" t="s">
        <v>5</v>
      </c>
      <c r="C1483">
        <v>18</v>
      </c>
      <c r="D1483">
        <v>17</v>
      </c>
      <c r="E1483">
        <f>12+2</f>
        <v>14</v>
      </c>
      <c r="F1483">
        <f>5-3+1</f>
        <v>3</v>
      </c>
      <c r="G1483">
        <v>0</v>
      </c>
    </row>
    <row r="1484" spans="1:7" x14ac:dyDescent="0.25">
      <c r="A1484" s="3" t="s">
        <v>118</v>
      </c>
      <c r="B1484" s="3" t="s">
        <v>5</v>
      </c>
      <c r="C1484" s="3">
        <v>6</v>
      </c>
      <c r="D1484" s="3">
        <v>6</v>
      </c>
      <c r="E1484" s="3">
        <v>6</v>
      </c>
      <c r="F1484" s="3">
        <v>0</v>
      </c>
      <c r="G1484" s="3">
        <v>0</v>
      </c>
    </row>
    <row r="1485" spans="1:7" x14ac:dyDescent="0.25">
      <c r="A1485" t="s">
        <v>118</v>
      </c>
      <c r="B1485" t="s">
        <v>185</v>
      </c>
      <c r="C1485">
        <v>14</v>
      </c>
      <c r="D1485">
        <v>14</v>
      </c>
      <c r="E1485">
        <v>12</v>
      </c>
      <c r="F1485">
        <v>2</v>
      </c>
      <c r="G1485">
        <v>0</v>
      </c>
    </row>
    <row r="1486" spans="1:7" x14ac:dyDescent="0.25">
      <c r="A1486" s="3" t="s">
        <v>118</v>
      </c>
      <c r="B1486" s="3" t="s">
        <v>185</v>
      </c>
      <c r="C1486" s="3">
        <v>17</v>
      </c>
      <c r="D1486" s="3">
        <v>16</v>
      </c>
      <c r="E1486" s="3">
        <f>12+2</f>
        <v>14</v>
      </c>
      <c r="F1486" s="3">
        <f>4-2+0</f>
        <v>2</v>
      </c>
      <c r="G1486" s="3">
        <v>0</v>
      </c>
    </row>
    <row r="1487" spans="1:7" x14ac:dyDescent="0.25">
      <c r="A1487" t="s">
        <v>118</v>
      </c>
      <c r="B1487" t="s">
        <v>186</v>
      </c>
      <c r="C1487">
        <v>23</v>
      </c>
      <c r="D1487">
        <v>20</v>
      </c>
      <c r="E1487">
        <f>15+4</f>
        <v>19</v>
      </c>
      <c r="F1487">
        <f>7-6+0</f>
        <v>1</v>
      </c>
      <c r="G1487">
        <v>0</v>
      </c>
    </row>
    <row r="1488" spans="1:7" x14ac:dyDescent="0.25">
      <c r="A1488" s="3" t="s">
        <v>118</v>
      </c>
      <c r="B1488" s="3" t="s">
        <v>186</v>
      </c>
      <c r="C1488" s="3">
        <v>28</v>
      </c>
      <c r="D1488" s="3">
        <v>27</v>
      </c>
      <c r="E1488" s="3">
        <v>27</v>
      </c>
      <c r="F1488" s="3">
        <v>0</v>
      </c>
      <c r="G1488" s="3">
        <v>0</v>
      </c>
    </row>
    <row r="1489" spans="1:7" x14ac:dyDescent="0.25">
      <c r="A1489" t="s">
        <v>118</v>
      </c>
      <c r="B1489" t="s">
        <v>187</v>
      </c>
      <c r="C1489">
        <v>19</v>
      </c>
      <c r="D1489">
        <v>18</v>
      </c>
      <c r="E1489">
        <v>15</v>
      </c>
      <c r="F1489">
        <v>3</v>
      </c>
      <c r="G1489">
        <v>0</v>
      </c>
    </row>
    <row r="1490" spans="1:7" x14ac:dyDescent="0.25">
      <c r="A1490" s="3" t="s">
        <v>118</v>
      </c>
      <c r="B1490" s="3" t="s">
        <v>187</v>
      </c>
      <c r="C1490" s="3">
        <v>23</v>
      </c>
      <c r="D1490" s="3">
        <v>21</v>
      </c>
      <c r="E1490" s="3">
        <f>19+1</f>
        <v>20</v>
      </c>
      <c r="F1490" s="3">
        <f>3-2+0</f>
        <v>1</v>
      </c>
      <c r="G1490" s="3">
        <v>0</v>
      </c>
    </row>
    <row r="1491" spans="1:7" x14ac:dyDescent="0.25">
      <c r="A1491" t="s">
        <v>118</v>
      </c>
      <c r="B1491" t="s">
        <v>6</v>
      </c>
      <c r="C1491">
        <v>1</v>
      </c>
      <c r="D1491">
        <v>1</v>
      </c>
      <c r="E1491">
        <v>1</v>
      </c>
      <c r="F1491">
        <v>0</v>
      </c>
      <c r="G1491">
        <v>0</v>
      </c>
    </row>
    <row r="1492" spans="1:7" x14ac:dyDescent="0.25">
      <c r="A1492" s="3" t="s">
        <v>118</v>
      </c>
      <c r="B1492" s="3" t="s">
        <v>6</v>
      </c>
      <c r="C1492" s="3">
        <v>4</v>
      </c>
      <c r="D1492" s="3">
        <v>4</v>
      </c>
      <c r="E1492" s="3">
        <v>4</v>
      </c>
      <c r="F1492" s="3">
        <v>0</v>
      </c>
      <c r="G1492" s="3">
        <v>0</v>
      </c>
    </row>
    <row r="1493" spans="1:7" x14ac:dyDescent="0.25">
      <c r="A1493" t="s">
        <v>118</v>
      </c>
      <c r="B1493" t="s">
        <v>8</v>
      </c>
      <c r="C1493">
        <v>6</v>
      </c>
      <c r="D1493">
        <v>6</v>
      </c>
      <c r="E1493">
        <v>6</v>
      </c>
      <c r="F1493">
        <v>0</v>
      </c>
      <c r="G1493">
        <v>0</v>
      </c>
    </row>
    <row r="1494" spans="1:7" x14ac:dyDescent="0.25">
      <c r="A1494" s="3" t="s">
        <v>118</v>
      </c>
      <c r="B1494" s="3" t="s">
        <v>8</v>
      </c>
      <c r="C1494" s="3">
        <v>5</v>
      </c>
      <c r="D1494" s="3">
        <v>5</v>
      </c>
      <c r="E1494" s="3">
        <v>5</v>
      </c>
      <c r="F1494" s="3">
        <v>0</v>
      </c>
      <c r="G1494" s="3">
        <v>0</v>
      </c>
    </row>
    <row r="1495" spans="1:7" x14ac:dyDescent="0.25">
      <c r="A1495" t="s">
        <v>118</v>
      </c>
      <c r="B1495" t="s">
        <v>9</v>
      </c>
      <c r="C1495">
        <v>4</v>
      </c>
      <c r="D1495">
        <v>4</v>
      </c>
      <c r="E1495">
        <v>4</v>
      </c>
      <c r="F1495">
        <v>0</v>
      </c>
      <c r="G1495">
        <v>0</v>
      </c>
    </row>
    <row r="1496" spans="1:7" x14ac:dyDescent="0.25">
      <c r="A1496" s="3" t="s">
        <v>118</v>
      </c>
      <c r="B1496" s="3" t="s">
        <v>9</v>
      </c>
      <c r="C1496" s="3">
        <v>4</v>
      </c>
      <c r="D1496" s="3">
        <v>4</v>
      </c>
      <c r="E1496" s="3">
        <v>4</v>
      </c>
      <c r="F1496" s="3">
        <v>0</v>
      </c>
      <c r="G1496" s="3">
        <v>0</v>
      </c>
    </row>
    <row r="1497" spans="1:7" x14ac:dyDescent="0.25">
      <c r="A1497" t="s">
        <v>118</v>
      </c>
      <c r="B1497" t="s">
        <v>10</v>
      </c>
      <c r="C1497">
        <v>12</v>
      </c>
      <c r="D1497">
        <v>12</v>
      </c>
      <c r="E1497">
        <v>12</v>
      </c>
      <c r="F1497">
        <v>0</v>
      </c>
      <c r="G1497">
        <v>0</v>
      </c>
    </row>
    <row r="1498" spans="1:7" x14ac:dyDescent="0.25">
      <c r="A1498" s="3" t="s">
        <v>118</v>
      </c>
      <c r="B1498" s="3" t="s">
        <v>10</v>
      </c>
      <c r="C1498" s="3">
        <v>15</v>
      </c>
      <c r="D1498" s="3">
        <v>15</v>
      </c>
      <c r="E1498" s="3">
        <v>12</v>
      </c>
      <c r="F1498" s="3">
        <v>3</v>
      </c>
      <c r="G1498" s="3">
        <v>0</v>
      </c>
    </row>
    <row r="1499" spans="1:7" x14ac:dyDescent="0.25">
      <c r="A1499" t="s">
        <v>118</v>
      </c>
      <c r="B1499" t="s">
        <v>177</v>
      </c>
      <c r="C1499">
        <v>12</v>
      </c>
      <c r="D1499">
        <v>12</v>
      </c>
      <c r="E1499">
        <v>11</v>
      </c>
      <c r="F1499">
        <v>1</v>
      </c>
      <c r="G1499">
        <v>0</v>
      </c>
    </row>
    <row r="1500" spans="1:7" x14ac:dyDescent="0.25">
      <c r="A1500" s="3" t="s">
        <v>118</v>
      </c>
      <c r="B1500" s="3" t="s">
        <v>177</v>
      </c>
      <c r="C1500" s="3">
        <v>6</v>
      </c>
      <c r="D1500" s="3">
        <v>6</v>
      </c>
      <c r="E1500" s="3">
        <v>5</v>
      </c>
      <c r="F1500" s="3">
        <v>1</v>
      </c>
      <c r="G1500" s="3">
        <v>0</v>
      </c>
    </row>
    <row r="1501" spans="1:7" x14ac:dyDescent="0.25">
      <c r="A1501" t="s">
        <v>125</v>
      </c>
      <c r="B1501" t="s">
        <v>2</v>
      </c>
      <c r="C1501">
        <v>1</v>
      </c>
      <c r="D1501">
        <v>1</v>
      </c>
      <c r="E1501">
        <v>1</v>
      </c>
      <c r="F1501">
        <v>0</v>
      </c>
      <c r="G1501">
        <v>0</v>
      </c>
    </row>
    <row r="1502" spans="1:7" x14ac:dyDescent="0.25">
      <c r="A1502" s="3" t="s">
        <v>125</v>
      </c>
      <c r="B1502" s="3" t="s">
        <v>2</v>
      </c>
      <c r="C1502" s="3">
        <v>3</v>
      </c>
      <c r="D1502" s="3">
        <v>3</v>
      </c>
      <c r="E1502" s="3">
        <v>3</v>
      </c>
      <c r="F1502" s="3">
        <v>0</v>
      </c>
      <c r="G1502" s="3">
        <v>0</v>
      </c>
    </row>
    <row r="1503" spans="1:7" x14ac:dyDescent="0.25">
      <c r="A1503" t="s">
        <v>125</v>
      </c>
      <c r="B1503" t="s">
        <v>5</v>
      </c>
      <c r="C1503">
        <v>21</v>
      </c>
      <c r="D1503">
        <v>21</v>
      </c>
      <c r="E1503">
        <v>21</v>
      </c>
      <c r="F1503">
        <v>0</v>
      </c>
      <c r="G1503">
        <v>0</v>
      </c>
    </row>
    <row r="1504" spans="1:7" x14ac:dyDescent="0.25">
      <c r="A1504" s="3" t="s">
        <v>125</v>
      </c>
      <c r="B1504" s="3" t="s">
        <v>5</v>
      </c>
      <c r="C1504" s="3">
        <v>9</v>
      </c>
      <c r="D1504" s="3">
        <v>8</v>
      </c>
      <c r="E1504" s="3">
        <v>8</v>
      </c>
      <c r="F1504" s="3">
        <v>0</v>
      </c>
      <c r="G1504" s="3">
        <v>0</v>
      </c>
    </row>
    <row r="1505" spans="1:7" x14ac:dyDescent="0.25">
      <c r="A1505" t="s">
        <v>125</v>
      </c>
      <c r="B1505" t="s">
        <v>185</v>
      </c>
      <c r="C1505">
        <v>11</v>
      </c>
      <c r="D1505">
        <v>11</v>
      </c>
      <c r="E1505">
        <v>11</v>
      </c>
      <c r="F1505">
        <v>0</v>
      </c>
      <c r="G1505">
        <v>0</v>
      </c>
    </row>
    <row r="1506" spans="1:7" x14ac:dyDescent="0.25">
      <c r="A1506" s="3" t="s">
        <v>125</v>
      </c>
      <c r="B1506" s="3" t="s">
        <v>185</v>
      </c>
      <c r="C1506" s="3">
        <v>10</v>
      </c>
      <c r="D1506" s="3">
        <v>10</v>
      </c>
      <c r="E1506" s="3">
        <v>10</v>
      </c>
      <c r="F1506" s="3">
        <v>0</v>
      </c>
      <c r="G1506" s="3">
        <v>0</v>
      </c>
    </row>
    <row r="1507" spans="1:7" x14ac:dyDescent="0.25">
      <c r="A1507" t="s">
        <v>125</v>
      </c>
      <c r="B1507" t="s">
        <v>186</v>
      </c>
      <c r="C1507">
        <f>19+1</f>
        <v>20</v>
      </c>
      <c r="D1507">
        <f>17+1</f>
        <v>18</v>
      </c>
      <c r="E1507">
        <f>16+1</f>
        <v>17</v>
      </c>
      <c r="F1507">
        <v>1</v>
      </c>
      <c r="G1507">
        <v>0</v>
      </c>
    </row>
    <row r="1508" spans="1:7" x14ac:dyDescent="0.25">
      <c r="A1508" s="3" t="s">
        <v>125</v>
      </c>
      <c r="B1508" s="3" t="s">
        <v>186</v>
      </c>
      <c r="C1508" s="3">
        <v>22</v>
      </c>
      <c r="D1508" s="3">
        <v>21</v>
      </c>
      <c r="E1508" s="3">
        <v>18</v>
      </c>
      <c r="F1508" s="3">
        <v>3</v>
      </c>
      <c r="G1508" s="3">
        <v>0</v>
      </c>
    </row>
    <row r="1509" spans="1:7" x14ac:dyDescent="0.25">
      <c r="A1509" t="s">
        <v>125</v>
      </c>
      <c r="B1509" t="s">
        <v>187</v>
      </c>
      <c r="C1509">
        <f>30+2</f>
        <v>32</v>
      </c>
      <c r="D1509">
        <f>30+2</f>
        <v>32</v>
      </c>
      <c r="E1509">
        <f>30+2</f>
        <v>32</v>
      </c>
      <c r="F1509">
        <v>0</v>
      </c>
      <c r="G1509">
        <v>0</v>
      </c>
    </row>
    <row r="1510" spans="1:7" x14ac:dyDescent="0.25">
      <c r="A1510" s="3" t="s">
        <v>125</v>
      </c>
      <c r="B1510" s="3" t="s">
        <v>187</v>
      </c>
      <c r="C1510" s="3">
        <v>29</v>
      </c>
      <c r="D1510" s="3">
        <v>29</v>
      </c>
      <c r="E1510" s="3">
        <v>28</v>
      </c>
      <c r="F1510" s="3">
        <v>1</v>
      </c>
      <c r="G1510" s="3">
        <v>0</v>
      </c>
    </row>
    <row r="1511" spans="1:7" x14ac:dyDescent="0.25">
      <c r="A1511" t="s">
        <v>125</v>
      </c>
      <c r="B1511" t="s">
        <v>6</v>
      </c>
      <c r="C1511">
        <v>16</v>
      </c>
      <c r="D1511">
        <v>16</v>
      </c>
      <c r="E1511">
        <v>16</v>
      </c>
      <c r="F1511">
        <v>0</v>
      </c>
      <c r="G1511">
        <v>0</v>
      </c>
    </row>
    <row r="1512" spans="1:7" x14ac:dyDescent="0.25">
      <c r="A1512" s="3" t="s">
        <v>125</v>
      </c>
      <c r="B1512" s="3" t="s">
        <v>6</v>
      </c>
      <c r="C1512" s="3">
        <v>4</v>
      </c>
      <c r="D1512" s="3">
        <v>4</v>
      </c>
      <c r="E1512" s="3">
        <v>4</v>
      </c>
      <c r="F1512" s="3">
        <v>0</v>
      </c>
      <c r="G1512" s="3">
        <v>0</v>
      </c>
    </row>
    <row r="1513" spans="1:7" x14ac:dyDescent="0.25">
      <c r="A1513" t="s">
        <v>125</v>
      </c>
      <c r="B1513" t="s">
        <v>8</v>
      </c>
      <c r="C1513">
        <v>6</v>
      </c>
      <c r="D1513">
        <v>6</v>
      </c>
      <c r="E1513">
        <v>6</v>
      </c>
      <c r="F1513">
        <v>0</v>
      </c>
      <c r="G1513">
        <v>0</v>
      </c>
    </row>
    <row r="1514" spans="1:7" x14ac:dyDescent="0.25">
      <c r="A1514" s="3" t="s">
        <v>125</v>
      </c>
      <c r="B1514" s="3" t="s">
        <v>8</v>
      </c>
      <c r="C1514" s="3">
        <v>4</v>
      </c>
      <c r="D1514" s="3">
        <v>4</v>
      </c>
      <c r="E1514" s="3">
        <v>4</v>
      </c>
      <c r="F1514" s="3">
        <v>0</v>
      </c>
      <c r="G1514" s="3">
        <v>0</v>
      </c>
    </row>
    <row r="1515" spans="1:7" x14ac:dyDescent="0.25">
      <c r="A1515" t="s">
        <v>125</v>
      </c>
      <c r="B1515" t="s">
        <v>9</v>
      </c>
      <c r="C1515">
        <v>4</v>
      </c>
      <c r="D1515">
        <v>4</v>
      </c>
      <c r="E1515">
        <v>4</v>
      </c>
      <c r="F1515">
        <v>0</v>
      </c>
      <c r="G1515">
        <v>0</v>
      </c>
    </row>
    <row r="1516" spans="1:7" x14ac:dyDescent="0.25">
      <c r="A1516" s="3" t="s">
        <v>125</v>
      </c>
      <c r="B1516" s="3" t="s">
        <v>9</v>
      </c>
      <c r="C1516" s="3">
        <v>3</v>
      </c>
      <c r="D1516" s="3">
        <v>3</v>
      </c>
      <c r="E1516" s="3">
        <v>3</v>
      </c>
      <c r="F1516" s="3">
        <v>0</v>
      </c>
      <c r="G1516" s="3">
        <v>0</v>
      </c>
    </row>
    <row r="1517" spans="1:7" x14ac:dyDescent="0.25">
      <c r="A1517" t="s">
        <v>125</v>
      </c>
      <c r="B1517" t="s">
        <v>10</v>
      </c>
      <c r="C1517">
        <v>16</v>
      </c>
      <c r="D1517">
        <v>16</v>
      </c>
      <c r="E1517">
        <v>16</v>
      </c>
      <c r="F1517">
        <v>0</v>
      </c>
      <c r="G1517">
        <v>0</v>
      </c>
    </row>
    <row r="1518" spans="1:7" x14ac:dyDescent="0.25">
      <c r="A1518" s="3" t="s">
        <v>125</v>
      </c>
      <c r="B1518" s="3" t="s">
        <v>10</v>
      </c>
      <c r="C1518" s="3">
        <v>10</v>
      </c>
      <c r="D1518" s="3">
        <v>10</v>
      </c>
      <c r="E1518" s="3">
        <v>10</v>
      </c>
      <c r="F1518" s="3">
        <v>0</v>
      </c>
      <c r="G1518" s="3">
        <v>0</v>
      </c>
    </row>
    <row r="1519" spans="1:7" x14ac:dyDescent="0.25">
      <c r="A1519" t="s">
        <v>125</v>
      </c>
      <c r="B1519" t="s">
        <v>177</v>
      </c>
      <c r="C1519">
        <v>15</v>
      </c>
      <c r="D1519">
        <v>15</v>
      </c>
      <c r="E1519">
        <v>14</v>
      </c>
      <c r="F1519">
        <v>1</v>
      </c>
      <c r="G1519">
        <v>0</v>
      </c>
    </row>
    <row r="1520" spans="1:7" x14ac:dyDescent="0.25">
      <c r="A1520" s="3" t="s">
        <v>125</v>
      </c>
      <c r="B1520" s="3" t="s">
        <v>177</v>
      </c>
      <c r="C1520" s="3">
        <v>5</v>
      </c>
      <c r="D1520" s="3">
        <v>5</v>
      </c>
      <c r="E1520" s="3">
        <v>5</v>
      </c>
      <c r="F1520" s="3">
        <v>0</v>
      </c>
      <c r="G1520" s="3">
        <v>0</v>
      </c>
    </row>
    <row r="1521" spans="1:7" x14ac:dyDescent="0.25">
      <c r="A1521" t="s">
        <v>87</v>
      </c>
      <c r="B1521" t="s">
        <v>5</v>
      </c>
      <c r="C1521">
        <v>6</v>
      </c>
      <c r="D1521">
        <v>6</v>
      </c>
      <c r="E1521">
        <f>3+1</f>
        <v>4</v>
      </c>
      <c r="F1521">
        <f>3-1+0</f>
        <v>2</v>
      </c>
      <c r="G1521">
        <v>0</v>
      </c>
    </row>
    <row r="1522" spans="1:7" x14ac:dyDescent="0.25">
      <c r="A1522" s="3" t="s">
        <v>87</v>
      </c>
      <c r="B1522" s="3" t="s">
        <v>5</v>
      </c>
      <c r="C1522" s="3">
        <v>3</v>
      </c>
      <c r="D1522" s="3">
        <v>3</v>
      </c>
      <c r="E1522" s="3">
        <v>3</v>
      </c>
      <c r="F1522" s="3">
        <v>0</v>
      </c>
      <c r="G1522" s="3">
        <v>0</v>
      </c>
    </row>
    <row r="1523" spans="1:7" x14ac:dyDescent="0.25">
      <c r="A1523" t="s">
        <v>87</v>
      </c>
      <c r="B1523" t="s">
        <v>185</v>
      </c>
      <c r="C1523">
        <f>23+1</f>
        <v>24</v>
      </c>
      <c r="D1523">
        <v>23</v>
      </c>
      <c r="E1523">
        <f>18+2</f>
        <v>20</v>
      </c>
      <c r="F1523">
        <f>6-4+1</f>
        <v>3</v>
      </c>
      <c r="G1523">
        <v>0</v>
      </c>
    </row>
    <row r="1524" spans="1:7" x14ac:dyDescent="0.25">
      <c r="A1524" s="3" t="s">
        <v>87</v>
      </c>
      <c r="B1524" s="3" t="s">
        <v>185</v>
      </c>
      <c r="C1524" s="3">
        <v>14</v>
      </c>
      <c r="D1524" s="3">
        <v>13</v>
      </c>
      <c r="E1524" s="3">
        <v>10</v>
      </c>
      <c r="F1524" s="3">
        <v>3</v>
      </c>
      <c r="G1524" s="3">
        <v>0</v>
      </c>
    </row>
    <row r="1525" spans="1:7" x14ac:dyDescent="0.25">
      <c r="A1525" t="s">
        <v>87</v>
      </c>
      <c r="B1525" t="s">
        <v>186</v>
      </c>
      <c r="C1525">
        <f>29+1</f>
        <v>30</v>
      </c>
      <c r="D1525">
        <f>28+1</f>
        <v>29</v>
      </c>
      <c r="E1525">
        <f>20+1</f>
        <v>21</v>
      </c>
      <c r="F1525">
        <v>8</v>
      </c>
      <c r="G1525">
        <v>0</v>
      </c>
    </row>
    <row r="1526" spans="1:7" x14ac:dyDescent="0.25">
      <c r="A1526" s="3" t="s">
        <v>87</v>
      </c>
      <c r="B1526" s="3" t="s">
        <v>186</v>
      </c>
      <c r="C1526" s="3">
        <v>35</v>
      </c>
      <c r="D1526" s="3">
        <v>30</v>
      </c>
      <c r="E1526" s="3">
        <f>17+6</f>
        <v>23</v>
      </c>
      <c r="F1526" s="3">
        <f>13-7+1</f>
        <v>7</v>
      </c>
      <c r="G1526" s="3">
        <v>1</v>
      </c>
    </row>
    <row r="1527" spans="1:7" x14ac:dyDescent="0.25">
      <c r="A1527" t="s">
        <v>87</v>
      </c>
      <c r="B1527" t="s">
        <v>187</v>
      </c>
      <c r="C1527">
        <v>31</v>
      </c>
      <c r="D1527">
        <v>28</v>
      </c>
      <c r="E1527">
        <v>27</v>
      </c>
      <c r="F1527">
        <v>1</v>
      </c>
      <c r="G1527">
        <v>0</v>
      </c>
    </row>
    <row r="1528" spans="1:7" x14ac:dyDescent="0.25">
      <c r="A1528" s="3" t="s">
        <v>87</v>
      </c>
      <c r="B1528" s="3" t="s">
        <v>187</v>
      </c>
      <c r="C1528" s="3">
        <v>8</v>
      </c>
      <c r="D1528" s="3">
        <v>8</v>
      </c>
      <c r="E1528" s="3">
        <f>6+1</f>
        <v>7</v>
      </c>
      <c r="F1528" s="3">
        <f>2-1+0</f>
        <v>1</v>
      </c>
      <c r="G1528" s="3">
        <v>0</v>
      </c>
    </row>
    <row r="1529" spans="1:7" x14ac:dyDescent="0.25">
      <c r="A1529" t="s">
        <v>87</v>
      </c>
      <c r="B1529" t="s">
        <v>6</v>
      </c>
      <c r="C1529">
        <v>5</v>
      </c>
      <c r="D1529">
        <v>5</v>
      </c>
      <c r="E1529">
        <v>5</v>
      </c>
      <c r="F1529">
        <v>0</v>
      </c>
      <c r="G1529">
        <v>0</v>
      </c>
    </row>
    <row r="1530" spans="1:7" x14ac:dyDescent="0.25">
      <c r="A1530" s="3" t="s">
        <v>87</v>
      </c>
      <c r="B1530" s="3" t="s">
        <v>6</v>
      </c>
      <c r="C1530" s="3">
        <v>5</v>
      </c>
      <c r="D1530" s="3">
        <v>5</v>
      </c>
      <c r="E1530" s="3">
        <v>5</v>
      </c>
      <c r="F1530" s="3">
        <v>0</v>
      </c>
      <c r="G1530" s="3">
        <v>0</v>
      </c>
    </row>
    <row r="1531" spans="1:7" x14ac:dyDescent="0.25">
      <c r="A1531" s="3" t="s">
        <v>87</v>
      </c>
      <c r="B1531" s="3" t="s">
        <v>7</v>
      </c>
      <c r="C1531" s="3">
        <v>1</v>
      </c>
      <c r="D1531" s="3">
        <v>0</v>
      </c>
      <c r="E1531" s="3">
        <v>0</v>
      </c>
      <c r="F1531" s="3">
        <v>0</v>
      </c>
      <c r="G1531" s="3">
        <v>0</v>
      </c>
    </row>
    <row r="1532" spans="1:7" x14ac:dyDescent="0.25">
      <c r="A1532" t="s">
        <v>87</v>
      </c>
      <c r="B1532" t="s">
        <v>8</v>
      </c>
      <c r="C1532">
        <v>9</v>
      </c>
      <c r="D1532">
        <v>4</v>
      </c>
      <c r="E1532">
        <v>4</v>
      </c>
      <c r="F1532">
        <v>0</v>
      </c>
      <c r="G1532">
        <v>0</v>
      </c>
    </row>
    <row r="1533" spans="1:7" x14ac:dyDescent="0.25">
      <c r="A1533" s="3" t="s">
        <v>87</v>
      </c>
      <c r="B1533" s="3" t="s">
        <v>8</v>
      </c>
      <c r="C1533" s="3">
        <v>4</v>
      </c>
      <c r="D1533" s="3">
        <v>4</v>
      </c>
      <c r="E1533" s="3">
        <v>4</v>
      </c>
      <c r="F1533" s="3">
        <v>0</v>
      </c>
      <c r="G1533" s="3">
        <v>0</v>
      </c>
    </row>
    <row r="1534" spans="1:7" x14ac:dyDescent="0.25">
      <c r="A1534" t="s">
        <v>87</v>
      </c>
      <c r="B1534" t="s">
        <v>9</v>
      </c>
      <c r="C1534">
        <v>2</v>
      </c>
      <c r="D1534">
        <v>1</v>
      </c>
      <c r="E1534">
        <v>1</v>
      </c>
      <c r="F1534">
        <v>0</v>
      </c>
      <c r="G1534">
        <v>0</v>
      </c>
    </row>
    <row r="1535" spans="1:7" x14ac:dyDescent="0.25">
      <c r="A1535" s="3" t="s">
        <v>87</v>
      </c>
      <c r="B1535" s="3" t="s">
        <v>9</v>
      </c>
      <c r="C1535" s="3">
        <v>1</v>
      </c>
      <c r="D1535" s="3">
        <v>0</v>
      </c>
      <c r="E1535" s="3">
        <v>0</v>
      </c>
      <c r="F1535" s="3">
        <v>0</v>
      </c>
      <c r="G1535" s="3">
        <v>0</v>
      </c>
    </row>
    <row r="1536" spans="1:7" x14ac:dyDescent="0.25">
      <c r="A1536" t="s">
        <v>87</v>
      </c>
      <c r="B1536" t="s">
        <v>10</v>
      </c>
      <c r="C1536">
        <v>45</v>
      </c>
      <c r="D1536">
        <v>45</v>
      </c>
      <c r="E1536">
        <v>41</v>
      </c>
      <c r="F1536">
        <v>4</v>
      </c>
      <c r="G1536">
        <v>0</v>
      </c>
    </row>
    <row r="1537" spans="1:7" x14ac:dyDescent="0.25">
      <c r="A1537" s="3" t="s">
        <v>87</v>
      </c>
      <c r="B1537" s="3" t="s">
        <v>10</v>
      </c>
      <c r="C1537" s="3">
        <v>13</v>
      </c>
      <c r="D1537" s="3">
        <v>12</v>
      </c>
      <c r="E1537" s="3">
        <v>12</v>
      </c>
      <c r="F1537" s="3">
        <v>0</v>
      </c>
      <c r="G1537" s="3">
        <v>0</v>
      </c>
    </row>
    <row r="1538" spans="1:7" x14ac:dyDescent="0.25">
      <c r="A1538" t="s">
        <v>87</v>
      </c>
      <c r="B1538" t="s">
        <v>177</v>
      </c>
      <c r="C1538">
        <v>2</v>
      </c>
      <c r="D1538">
        <v>2</v>
      </c>
      <c r="E1538">
        <v>2</v>
      </c>
      <c r="F1538">
        <v>0</v>
      </c>
      <c r="G1538">
        <v>0</v>
      </c>
    </row>
    <row r="1539" spans="1:7" x14ac:dyDescent="0.25">
      <c r="A1539" s="3" t="s">
        <v>87</v>
      </c>
      <c r="B1539" s="3" t="s">
        <v>177</v>
      </c>
      <c r="C1539" s="3">
        <v>3</v>
      </c>
      <c r="D1539" s="3">
        <v>3</v>
      </c>
      <c r="E1539" s="3">
        <v>3</v>
      </c>
      <c r="F1539" s="3">
        <v>0</v>
      </c>
      <c r="G1539" s="3">
        <v>0</v>
      </c>
    </row>
    <row r="1540" spans="1:7" x14ac:dyDescent="0.25">
      <c r="A1540" t="s">
        <v>155</v>
      </c>
      <c r="B1540" t="s">
        <v>2</v>
      </c>
      <c r="C1540">
        <v>7</v>
      </c>
      <c r="D1540">
        <v>7</v>
      </c>
      <c r="E1540">
        <v>7</v>
      </c>
      <c r="F1540">
        <v>0</v>
      </c>
      <c r="G1540">
        <v>0</v>
      </c>
    </row>
    <row r="1541" spans="1:7" x14ac:dyDescent="0.25">
      <c r="A1541" s="3" t="s">
        <v>155</v>
      </c>
      <c r="B1541" s="3" t="s">
        <v>2</v>
      </c>
      <c r="C1541" s="3">
        <v>6</v>
      </c>
      <c r="D1541" s="3">
        <v>5</v>
      </c>
      <c r="E1541" s="3">
        <v>5</v>
      </c>
      <c r="F1541" s="3">
        <v>0</v>
      </c>
      <c r="G1541" s="3">
        <v>0</v>
      </c>
    </row>
    <row r="1542" spans="1:7" x14ac:dyDescent="0.25">
      <c r="A1542" t="s">
        <v>155</v>
      </c>
      <c r="B1542" t="s">
        <v>4</v>
      </c>
      <c r="C1542">
        <v>1</v>
      </c>
      <c r="D1542">
        <v>0</v>
      </c>
      <c r="E1542">
        <v>0</v>
      </c>
      <c r="F1542">
        <v>0</v>
      </c>
      <c r="G1542">
        <v>0</v>
      </c>
    </row>
    <row r="1543" spans="1:7" x14ac:dyDescent="0.25">
      <c r="A1543" t="s">
        <v>155</v>
      </c>
      <c r="B1543" t="s">
        <v>5</v>
      </c>
      <c r="C1543">
        <v>70</v>
      </c>
      <c r="D1543">
        <v>70</v>
      </c>
      <c r="E1543">
        <f>51+13</f>
        <v>64</v>
      </c>
      <c r="F1543">
        <f>19-17+4</f>
        <v>6</v>
      </c>
      <c r="G1543">
        <v>0</v>
      </c>
    </row>
    <row r="1544" spans="1:7" x14ac:dyDescent="0.25">
      <c r="A1544" s="3" t="s">
        <v>155</v>
      </c>
      <c r="B1544" s="3" t="s">
        <v>5</v>
      </c>
      <c r="C1544" s="3">
        <v>50</v>
      </c>
      <c r="D1544" s="3">
        <v>50</v>
      </c>
      <c r="E1544" s="3">
        <v>40</v>
      </c>
      <c r="F1544" s="3">
        <v>10</v>
      </c>
      <c r="G1544" s="3">
        <v>0</v>
      </c>
    </row>
    <row r="1545" spans="1:7" x14ac:dyDescent="0.25">
      <c r="A1545" t="s">
        <v>155</v>
      </c>
      <c r="B1545" t="s">
        <v>185</v>
      </c>
      <c r="C1545">
        <f>40+4</f>
        <v>44</v>
      </c>
      <c r="D1545">
        <f>40+4</f>
        <v>44</v>
      </c>
      <c r="E1545">
        <f>14+24</f>
        <v>38</v>
      </c>
      <c r="F1545">
        <f>30-29+5</f>
        <v>6</v>
      </c>
      <c r="G1545">
        <v>0</v>
      </c>
    </row>
    <row r="1546" spans="1:7" x14ac:dyDescent="0.25">
      <c r="A1546" s="3" t="s">
        <v>155</v>
      </c>
      <c r="B1546" s="3" t="s">
        <v>185</v>
      </c>
      <c r="C1546" s="3">
        <v>45</v>
      </c>
      <c r="D1546" s="3">
        <v>44</v>
      </c>
      <c r="E1546" s="3">
        <v>35</v>
      </c>
      <c r="F1546" s="3">
        <v>9</v>
      </c>
      <c r="G1546" s="3">
        <v>0</v>
      </c>
    </row>
    <row r="1547" spans="1:7" x14ac:dyDescent="0.25">
      <c r="A1547" t="s">
        <v>155</v>
      </c>
      <c r="B1547" t="s">
        <v>186</v>
      </c>
      <c r="C1547">
        <f>103+8</f>
        <v>111</v>
      </c>
      <c r="D1547">
        <v>108</v>
      </c>
      <c r="E1547">
        <f>87+19</f>
        <v>106</v>
      </c>
      <c r="F1547">
        <f>22-22+2</f>
        <v>2</v>
      </c>
      <c r="G1547">
        <v>0</v>
      </c>
    </row>
    <row r="1548" spans="1:7" x14ac:dyDescent="0.25">
      <c r="A1548" s="3" t="s">
        <v>155</v>
      </c>
      <c r="B1548" s="3" t="s">
        <v>186</v>
      </c>
      <c r="C1548" s="3">
        <v>75</v>
      </c>
      <c r="D1548" s="3">
        <v>69</v>
      </c>
      <c r="E1548" s="3">
        <v>58</v>
      </c>
      <c r="F1548" s="3">
        <v>11</v>
      </c>
      <c r="G1548" s="3">
        <v>0</v>
      </c>
    </row>
    <row r="1549" spans="1:7" x14ac:dyDescent="0.25">
      <c r="A1549" t="s">
        <v>155</v>
      </c>
      <c r="B1549" t="s">
        <v>187</v>
      </c>
      <c r="C1549">
        <f>83+1</f>
        <v>84</v>
      </c>
      <c r="D1549">
        <f>83+1</f>
        <v>84</v>
      </c>
      <c r="E1549">
        <f>55+21</f>
        <v>76</v>
      </c>
      <c r="F1549">
        <f>29-23+2</f>
        <v>8</v>
      </c>
      <c r="G1549">
        <v>0</v>
      </c>
    </row>
    <row r="1550" spans="1:7" x14ac:dyDescent="0.25">
      <c r="A1550" s="3" t="s">
        <v>155</v>
      </c>
      <c r="B1550" s="3" t="s">
        <v>187</v>
      </c>
      <c r="C1550" s="3">
        <v>60</v>
      </c>
      <c r="D1550" s="3">
        <v>59</v>
      </c>
      <c r="E1550" s="3">
        <v>42</v>
      </c>
      <c r="F1550" s="3">
        <v>17</v>
      </c>
      <c r="G1550" s="3">
        <v>1</v>
      </c>
    </row>
    <row r="1551" spans="1:7" x14ac:dyDescent="0.25">
      <c r="A1551" t="s">
        <v>155</v>
      </c>
      <c r="B1551" t="s">
        <v>6</v>
      </c>
      <c r="C1551">
        <v>13</v>
      </c>
      <c r="D1551">
        <v>12</v>
      </c>
      <c r="E1551">
        <v>11</v>
      </c>
      <c r="F1551">
        <v>1</v>
      </c>
      <c r="G1551">
        <v>0</v>
      </c>
    </row>
    <row r="1552" spans="1:7" x14ac:dyDescent="0.25">
      <c r="A1552" s="3" t="s">
        <v>155</v>
      </c>
      <c r="B1552" s="3" t="s">
        <v>6</v>
      </c>
      <c r="C1552" s="3">
        <v>5</v>
      </c>
      <c r="D1552" s="3">
        <v>5</v>
      </c>
      <c r="E1552" s="3">
        <v>5</v>
      </c>
      <c r="F1552" s="3">
        <v>0</v>
      </c>
      <c r="G1552" s="3">
        <v>0</v>
      </c>
    </row>
    <row r="1553" spans="1:7" x14ac:dyDescent="0.25">
      <c r="A1553" t="s">
        <v>155</v>
      </c>
      <c r="B1553" t="s">
        <v>7</v>
      </c>
      <c r="C1553">
        <v>9</v>
      </c>
      <c r="D1553">
        <v>8</v>
      </c>
      <c r="E1553">
        <v>7</v>
      </c>
      <c r="F1553">
        <v>1</v>
      </c>
      <c r="G1553">
        <v>0</v>
      </c>
    </row>
    <row r="1554" spans="1:7" x14ac:dyDescent="0.25">
      <c r="A1554" s="3" t="s">
        <v>155</v>
      </c>
      <c r="B1554" s="3" t="s">
        <v>7</v>
      </c>
      <c r="C1554" s="3">
        <v>7</v>
      </c>
      <c r="D1554" s="3">
        <v>7</v>
      </c>
      <c r="E1554" s="3">
        <v>6</v>
      </c>
      <c r="F1554" s="3">
        <v>1</v>
      </c>
      <c r="G1554" s="3">
        <v>0</v>
      </c>
    </row>
    <row r="1555" spans="1:7" x14ac:dyDescent="0.25">
      <c r="A1555" t="s">
        <v>155</v>
      </c>
      <c r="B1555" t="s">
        <v>8</v>
      </c>
      <c r="C1555">
        <v>48</v>
      </c>
      <c r="D1555">
        <v>48</v>
      </c>
      <c r="E1555">
        <v>30</v>
      </c>
      <c r="F1555">
        <v>18</v>
      </c>
      <c r="G1555">
        <v>0</v>
      </c>
    </row>
    <row r="1556" spans="1:7" x14ac:dyDescent="0.25">
      <c r="A1556" s="3" t="s">
        <v>155</v>
      </c>
      <c r="B1556" s="3" t="s">
        <v>8</v>
      </c>
      <c r="C1556" s="3">
        <v>41</v>
      </c>
      <c r="D1556" s="3">
        <v>41</v>
      </c>
      <c r="E1556" s="3">
        <v>23</v>
      </c>
      <c r="F1556" s="3">
        <v>18</v>
      </c>
      <c r="G1556" s="3">
        <v>0</v>
      </c>
    </row>
    <row r="1557" spans="1:7" x14ac:dyDescent="0.25">
      <c r="A1557" t="s">
        <v>155</v>
      </c>
      <c r="B1557" t="s">
        <v>9</v>
      </c>
      <c r="C1557">
        <v>37</v>
      </c>
      <c r="D1557">
        <v>37</v>
      </c>
      <c r="E1557">
        <v>31</v>
      </c>
      <c r="F1557">
        <v>6</v>
      </c>
      <c r="G1557">
        <v>0</v>
      </c>
    </row>
    <row r="1558" spans="1:7" x14ac:dyDescent="0.25">
      <c r="A1558" s="3" t="s">
        <v>155</v>
      </c>
      <c r="B1558" s="3" t="s">
        <v>9</v>
      </c>
      <c r="C1558" s="3">
        <v>20</v>
      </c>
      <c r="D1558" s="3">
        <v>20</v>
      </c>
      <c r="E1558" s="3">
        <v>16</v>
      </c>
      <c r="F1558" s="3">
        <v>4</v>
      </c>
      <c r="G1558" s="3">
        <v>0</v>
      </c>
    </row>
    <row r="1559" spans="1:7" x14ac:dyDescent="0.25">
      <c r="A1559" t="s">
        <v>155</v>
      </c>
      <c r="B1559" t="s">
        <v>10</v>
      </c>
      <c r="C1559">
        <v>106</v>
      </c>
      <c r="D1559">
        <v>106</v>
      </c>
      <c r="E1559">
        <v>89</v>
      </c>
      <c r="F1559">
        <v>17</v>
      </c>
      <c r="G1559">
        <v>0</v>
      </c>
    </row>
    <row r="1560" spans="1:7" x14ac:dyDescent="0.25">
      <c r="A1560" s="3" t="s">
        <v>155</v>
      </c>
      <c r="B1560" s="3" t="s">
        <v>10</v>
      </c>
      <c r="C1560" s="3">
        <v>58</v>
      </c>
      <c r="D1560" s="3">
        <v>58</v>
      </c>
      <c r="E1560" s="3">
        <v>45</v>
      </c>
      <c r="F1560" s="3">
        <v>13</v>
      </c>
      <c r="G1560" s="3">
        <v>0</v>
      </c>
    </row>
    <row r="1561" spans="1:7" x14ac:dyDescent="0.25">
      <c r="A1561" t="s">
        <v>155</v>
      </c>
      <c r="B1561" t="s">
        <v>177</v>
      </c>
      <c r="C1561">
        <v>61</v>
      </c>
      <c r="D1561">
        <v>61</v>
      </c>
      <c r="E1561">
        <v>60</v>
      </c>
      <c r="F1561">
        <v>1</v>
      </c>
      <c r="G1561">
        <v>0</v>
      </c>
    </row>
    <row r="1562" spans="1:7" x14ac:dyDescent="0.25">
      <c r="A1562" s="3" t="s">
        <v>155</v>
      </c>
      <c r="B1562" s="3" t="s">
        <v>177</v>
      </c>
      <c r="C1562" s="3">
        <v>32</v>
      </c>
      <c r="D1562" s="3">
        <v>28</v>
      </c>
      <c r="E1562" s="3">
        <v>28</v>
      </c>
      <c r="F1562" s="3">
        <v>0</v>
      </c>
      <c r="G1562" s="3">
        <v>3</v>
      </c>
    </row>
    <row r="1563" spans="1:7" x14ac:dyDescent="0.25">
      <c r="A1563" s="3" t="s">
        <v>81</v>
      </c>
      <c r="B1563" s="3" t="s">
        <v>27</v>
      </c>
      <c r="C1563" s="3">
        <v>1</v>
      </c>
      <c r="D1563" s="3">
        <v>0</v>
      </c>
      <c r="E1563" s="3">
        <v>0</v>
      </c>
      <c r="F1563" s="3">
        <v>0</v>
      </c>
      <c r="G1563" s="3">
        <v>0</v>
      </c>
    </row>
    <row r="1564" spans="1:7" x14ac:dyDescent="0.25">
      <c r="A1564" t="s">
        <v>81</v>
      </c>
      <c r="B1564" t="s">
        <v>4</v>
      </c>
      <c r="C1564">
        <v>1</v>
      </c>
      <c r="D1564">
        <v>0</v>
      </c>
      <c r="E1564">
        <v>0</v>
      </c>
      <c r="F1564">
        <v>0</v>
      </c>
      <c r="G1564">
        <v>0</v>
      </c>
    </row>
    <row r="1565" spans="1:7" x14ac:dyDescent="0.25">
      <c r="A1565" t="s">
        <v>81</v>
      </c>
      <c r="B1565" t="s">
        <v>5</v>
      </c>
      <c r="C1565">
        <v>2</v>
      </c>
      <c r="D1565">
        <v>2</v>
      </c>
      <c r="E1565">
        <v>0</v>
      </c>
      <c r="F1565">
        <v>2</v>
      </c>
      <c r="G1565">
        <v>0</v>
      </c>
    </row>
    <row r="1566" spans="1:7" x14ac:dyDescent="0.25">
      <c r="A1566" s="3" t="s">
        <v>81</v>
      </c>
      <c r="B1566" s="3" t="s">
        <v>5</v>
      </c>
      <c r="C1566" s="3">
        <v>3</v>
      </c>
      <c r="D1566" s="3">
        <v>3</v>
      </c>
      <c r="E1566" s="3">
        <f>1+2</f>
        <v>3</v>
      </c>
      <c r="F1566" s="3">
        <f>2-2+0</f>
        <v>0</v>
      </c>
      <c r="G1566" s="3">
        <v>0</v>
      </c>
    </row>
    <row r="1567" spans="1:7" x14ac:dyDescent="0.25">
      <c r="A1567" t="s">
        <v>81</v>
      </c>
      <c r="B1567" t="s">
        <v>185</v>
      </c>
      <c r="C1567">
        <f>7+2</f>
        <v>9</v>
      </c>
      <c r="D1567">
        <f>7+2</f>
        <v>9</v>
      </c>
      <c r="E1567">
        <f>3+2</f>
        <v>5</v>
      </c>
      <c r="F1567">
        <f>6-5+3</f>
        <v>4</v>
      </c>
      <c r="G1567">
        <v>0</v>
      </c>
    </row>
    <row r="1568" spans="1:7" x14ac:dyDescent="0.25">
      <c r="A1568" s="3" t="s">
        <v>81</v>
      </c>
      <c r="B1568" s="3" t="s">
        <v>185</v>
      </c>
      <c r="C1568" s="3">
        <v>7</v>
      </c>
      <c r="D1568" s="3">
        <v>7</v>
      </c>
      <c r="E1568" s="3">
        <v>6</v>
      </c>
      <c r="F1568" s="3">
        <v>1</v>
      </c>
      <c r="G1568" s="3">
        <v>0</v>
      </c>
    </row>
    <row r="1569" spans="1:7" x14ac:dyDescent="0.25">
      <c r="A1569" t="s">
        <v>81</v>
      </c>
      <c r="B1569" t="s">
        <v>186</v>
      </c>
      <c r="C1569">
        <f>21+2</f>
        <v>23</v>
      </c>
      <c r="D1569">
        <v>22</v>
      </c>
      <c r="E1569">
        <f>11+4</f>
        <v>15</v>
      </c>
      <c r="F1569">
        <f>12-7+2</f>
        <v>7</v>
      </c>
      <c r="G1569">
        <v>0</v>
      </c>
    </row>
    <row r="1570" spans="1:7" x14ac:dyDescent="0.25">
      <c r="A1570" s="3" t="s">
        <v>81</v>
      </c>
      <c r="B1570" s="3" t="s">
        <v>186</v>
      </c>
      <c r="C1570" s="3">
        <v>15</v>
      </c>
      <c r="D1570" s="3">
        <v>14</v>
      </c>
      <c r="E1570" s="3">
        <v>11</v>
      </c>
      <c r="F1570" s="3">
        <v>3</v>
      </c>
      <c r="G1570" s="3">
        <v>0</v>
      </c>
    </row>
    <row r="1571" spans="1:7" x14ac:dyDescent="0.25">
      <c r="A1571" t="s">
        <v>81</v>
      </c>
      <c r="B1571" t="s">
        <v>189</v>
      </c>
      <c r="C1571">
        <v>1</v>
      </c>
      <c r="D1571">
        <v>1</v>
      </c>
      <c r="E1571">
        <v>1</v>
      </c>
      <c r="F1571">
        <v>0</v>
      </c>
      <c r="G1571">
        <v>0</v>
      </c>
    </row>
    <row r="1572" spans="1:7" x14ac:dyDescent="0.25">
      <c r="A1572" t="s">
        <v>81</v>
      </c>
      <c r="B1572" t="s">
        <v>187</v>
      </c>
      <c r="C1572">
        <v>8</v>
      </c>
      <c r="D1572">
        <v>8</v>
      </c>
      <c r="E1572">
        <f>2+5</f>
        <v>7</v>
      </c>
      <c r="F1572">
        <f>6-5+0</f>
        <v>1</v>
      </c>
      <c r="G1572">
        <v>0</v>
      </c>
    </row>
    <row r="1573" spans="1:7" x14ac:dyDescent="0.25">
      <c r="A1573" s="3" t="s">
        <v>81</v>
      </c>
      <c r="B1573" s="3" t="s">
        <v>187</v>
      </c>
      <c r="C1573" s="3">
        <v>13</v>
      </c>
      <c r="D1573" s="3">
        <v>13</v>
      </c>
      <c r="E1573" s="3">
        <v>10</v>
      </c>
      <c r="F1573" s="3">
        <v>3</v>
      </c>
      <c r="G1573" s="3">
        <v>0</v>
      </c>
    </row>
    <row r="1574" spans="1:7" x14ac:dyDescent="0.25">
      <c r="A1574" t="s">
        <v>81</v>
      </c>
      <c r="B1574" t="s">
        <v>6</v>
      </c>
      <c r="C1574">
        <v>6</v>
      </c>
      <c r="D1574">
        <v>6</v>
      </c>
      <c r="E1574">
        <v>6</v>
      </c>
      <c r="F1574">
        <v>0</v>
      </c>
      <c r="G1574">
        <v>0</v>
      </c>
    </row>
    <row r="1575" spans="1:7" x14ac:dyDescent="0.25">
      <c r="A1575" s="3" t="s">
        <v>81</v>
      </c>
      <c r="B1575" s="3" t="s">
        <v>6</v>
      </c>
      <c r="C1575" s="3">
        <v>1</v>
      </c>
      <c r="D1575" s="3">
        <v>1</v>
      </c>
      <c r="E1575" s="3">
        <v>1</v>
      </c>
      <c r="F1575" s="3">
        <v>0</v>
      </c>
      <c r="G1575" s="3">
        <v>0</v>
      </c>
    </row>
    <row r="1576" spans="1:7" x14ac:dyDescent="0.25">
      <c r="A1576" t="s">
        <v>81</v>
      </c>
      <c r="B1576" t="s">
        <v>7</v>
      </c>
      <c r="C1576">
        <v>1</v>
      </c>
      <c r="D1576">
        <v>1</v>
      </c>
      <c r="E1576">
        <v>1</v>
      </c>
      <c r="F1576">
        <v>0</v>
      </c>
      <c r="G1576">
        <v>0</v>
      </c>
    </row>
    <row r="1577" spans="1:7" x14ac:dyDescent="0.25">
      <c r="A1577" t="s">
        <v>81</v>
      </c>
      <c r="B1577" t="s">
        <v>8</v>
      </c>
      <c r="C1577">
        <v>3</v>
      </c>
      <c r="D1577">
        <v>3</v>
      </c>
      <c r="E1577">
        <v>2</v>
      </c>
      <c r="F1577">
        <v>1</v>
      </c>
      <c r="G1577">
        <v>0</v>
      </c>
    </row>
    <row r="1578" spans="1:7" x14ac:dyDescent="0.25">
      <c r="A1578" t="s">
        <v>81</v>
      </c>
      <c r="B1578" t="s">
        <v>9</v>
      </c>
      <c r="C1578">
        <v>2</v>
      </c>
      <c r="D1578">
        <v>2</v>
      </c>
      <c r="E1578">
        <v>2</v>
      </c>
      <c r="F1578">
        <v>0</v>
      </c>
      <c r="G1578">
        <v>0</v>
      </c>
    </row>
    <row r="1579" spans="1:7" x14ac:dyDescent="0.25">
      <c r="A1579" t="s">
        <v>81</v>
      </c>
      <c r="B1579" t="s">
        <v>10</v>
      </c>
      <c r="C1579">
        <v>17</v>
      </c>
      <c r="D1579">
        <v>17</v>
      </c>
      <c r="E1579">
        <v>13</v>
      </c>
      <c r="F1579">
        <v>4</v>
      </c>
      <c r="G1579">
        <v>0</v>
      </c>
    </row>
    <row r="1580" spans="1:7" x14ac:dyDescent="0.25">
      <c r="A1580" s="3" t="s">
        <v>81</v>
      </c>
      <c r="B1580" s="3" t="s">
        <v>10</v>
      </c>
      <c r="C1580" s="3">
        <v>6</v>
      </c>
      <c r="D1580" s="3">
        <v>6</v>
      </c>
      <c r="E1580" s="3">
        <v>6</v>
      </c>
      <c r="F1580" s="3">
        <v>0</v>
      </c>
      <c r="G1580" s="3">
        <v>0</v>
      </c>
    </row>
    <row r="1581" spans="1:7" x14ac:dyDescent="0.25">
      <c r="A1581" t="s">
        <v>81</v>
      </c>
      <c r="B1581" t="s">
        <v>177</v>
      </c>
      <c r="C1581">
        <v>2</v>
      </c>
      <c r="D1581">
        <v>2</v>
      </c>
      <c r="E1581">
        <v>2</v>
      </c>
      <c r="F1581">
        <v>0</v>
      </c>
      <c r="G1581">
        <v>0</v>
      </c>
    </row>
    <row r="1582" spans="1:7" x14ac:dyDescent="0.25">
      <c r="A1582" s="3" t="s">
        <v>81</v>
      </c>
      <c r="B1582" s="3" t="s">
        <v>177</v>
      </c>
      <c r="C1582" s="3">
        <v>1</v>
      </c>
      <c r="D1582" s="3">
        <v>0</v>
      </c>
      <c r="E1582" s="3">
        <v>0</v>
      </c>
      <c r="F1582" s="3">
        <v>0</v>
      </c>
      <c r="G1582" s="3">
        <v>0</v>
      </c>
    </row>
    <row r="1583" spans="1:7" x14ac:dyDescent="0.25">
      <c r="A1583" t="s">
        <v>66</v>
      </c>
      <c r="B1583" t="s">
        <v>2</v>
      </c>
      <c r="C1583">
        <v>3</v>
      </c>
      <c r="D1583">
        <v>3</v>
      </c>
      <c r="E1583">
        <v>3</v>
      </c>
      <c r="F1583">
        <v>0</v>
      </c>
      <c r="G1583">
        <v>0</v>
      </c>
    </row>
    <row r="1584" spans="1:7" x14ac:dyDescent="0.25">
      <c r="A1584" s="3" t="s">
        <v>66</v>
      </c>
      <c r="B1584" s="3" t="s">
        <v>2</v>
      </c>
      <c r="C1584" s="3">
        <v>2</v>
      </c>
      <c r="D1584" s="3">
        <v>2</v>
      </c>
      <c r="E1584" s="3">
        <v>2</v>
      </c>
      <c r="F1584" s="3">
        <v>0</v>
      </c>
      <c r="G1584" s="3">
        <v>0</v>
      </c>
    </row>
    <row r="1585" spans="1:7" x14ac:dyDescent="0.25">
      <c r="A1585" t="s">
        <v>66</v>
      </c>
      <c r="B1585" t="s">
        <v>5</v>
      </c>
      <c r="C1585">
        <v>4</v>
      </c>
      <c r="D1585">
        <v>4</v>
      </c>
      <c r="E1585">
        <v>4</v>
      </c>
      <c r="F1585">
        <v>0</v>
      </c>
      <c r="G1585">
        <v>0</v>
      </c>
    </row>
    <row r="1586" spans="1:7" x14ac:dyDescent="0.25">
      <c r="A1586" s="3" t="s">
        <v>66</v>
      </c>
      <c r="B1586" s="3" t="s">
        <v>5</v>
      </c>
      <c r="C1586" s="3">
        <v>4</v>
      </c>
      <c r="D1586" s="3">
        <v>4</v>
      </c>
      <c r="E1586" s="3">
        <v>4</v>
      </c>
      <c r="F1586" s="3">
        <v>0</v>
      </c>
      <c r="G1586" s="3">
        <v>0</v>
      </c>
    </row>
    <row r="1587" spans="1:7" x14ac:dyDescent="0.25">
      <c r="A1587" t="s">
        <v>66</v>
      </c>
      <c r="B1587" t="s">
        <v>185</v>
      </c>
      <c r="C1587">
        <v>23</v>
      </c>
      <c r="D1587">
        <v>23</v>
      </c>
      <c r="E1587">
        <f>21+2</f>
        <v>23</v>
      </c>
      <c r="F1587">
        <f>2-2+0</f>
        <v>0</v>
      </c>
      <c r="G1587">
        <v>0</v>
      </c>
    </row>
    <row r="1588" spans="1:7" x14ac:dyDescent="0.25">
      <c r="A1588" s="3" t="s">
        <v>66</v>
      </c>
      <c r="B1588" s="3" t="s">
        <v>185</v>
      </c>
      <c r="C1588" s="3">
        <v>22</v>
      </c>
      <c r="D1588" s="3">
        <v>22</v>
      </c>
      <c r="E1588" s="3">
        <v>21</v>
      </c>
      <c r="F1588" s="3">
        <v>1</v>
      </c>
      <c r="G1588" s="3">
        <v>0</v>
      </c>
    </row>
    <row r="1589" spans="1:7" x14ac:dyDescent="0.25">
      <c r="A1589" t="s">
        <v>66</v>
      </c>
      <c r="B1589" t="s">
        <v>186</v>
      </c>
      <c r="C1589">
        <f>34+3</f>
        <v>37</v>
      </c>
      <c r="D1589">
        <f>34+2</f>
        <v>36</v>
      </c>
      <c r="E1589">
        <f>29+3</f>
        <v>32</v>
      </c>
      <c r="F1589">
        <f>7-3+0</f>
        <v>4</v>
      </c>
      <c r="G1589">
        <v>0</v>
      </c>
    </row>
    <row r="1590" spans="1:7" x14ac:dyDescent="0.25">
      <c r="A1590" s="3" t="s">
        <v>66</v>
      </c>
      <c r="B1590" s="3" t="s">
        <v>186</v>
      </c>
      <c r="C1590" s="3">
        <v>26</v>
      </c>
      <c r="D1590" s="3">
        <v>23</v>
      </c>
      <c r="E1590" s="3">
        <v>21</v>
      </c>
      <c r="F1590" s="3">
        <v>2</v>
      </c>
      <c r="G1590" s="3">
        <v>3</v>
      </c>
    </row>
    <row r="1591" spans="1:7" x14ac:dyDescent="0.25">
      <c r="A1591" t="s">
        <v>66</v>
      </c>
      <c r="B1591" t="s">
        <v>187</v>
      </c>
      <c r="C1591">
        <v>76</v>
      </c>
      <c r="D1591">
        <v>74</v>
      </c>
      <c r="E1591">
        <f>66+5</f>
        <v>71</v>
      </c>
      <c r="F1591">
        <f>8-5+0</f>
        <v>3</v>
      </c>
      <c r="G1591">
        <v>2</v>
      </c>
    </row>
    <row r="1592" spans="1:7" x14ac:dyDescent="0.25">
      <c r="A1592" s="3" t="s">
        <v>66</v>
      </c>
      <c r="B1592" s="3" t="s">
        <v>187</v>
      </c>
      <c r="C1592" s="3">
        <v>43</v>
      </c>
      <c r="D1592" s="3">
        <v>42</v>
      </c>
      <c r="E1592" s="3">
        <v>40</v>
      </c>
      <c r="F1592" s="3">
        <v>2</v>
      </c>
      <c r="G1592" s="3">
        <v>0</v>
      </c>
    </row>
    <row r="1593" spans="1:7" x14ac:dyDescent="0.25">
      <c r="A1593" t="s">
        <v>66</v>
      </c>
      <c r="B1593" t="s">
        <v>6</v>
      </c>
      <c r="C1593">
        <v>21</v>
      </c>
      <c r="D1593">
        <v>21</v>
      </c>
      <c r="E1593">
        <v>21</v>
      </c>
      <c r="F1593">
        <v>0</v>
      </c>
      <c r="G1593">
        <v>0</v>
      </c>
    </row>
    <row r="1594" spans="1:7" x14ac:dyDescent="0.25">
      <c r="A1594" s="3" t="s">
        <v>66</v>
      </c>
      <c r="B1594" s="3" t="s">
        <v>6</v>
      </c>
      <c r="C1594" s="3">
        <v>9</v>
      </c>
      <c r="D1594" s="3">
        <v>8</v>
      </c>
      <c r="E1594" s="3">
        <v>8</v>
      </c>
      <c r="F1594" s="3">
        <v>0</v>
      </c>
      <c r="G1594" s="3">
        <v>1</v>
      </c>
    </row>
    <row r="1595" spans="1:7" x14ac:dyDescent="0.25">
      <c r="A1595" t="s">
        <v>66</v>
      </c>
      <c r="B1595" t="s">
        <v>7</v>
      </c>
      <c r="C1595">
        <v>2</v>
      </c>
      <c r="D1595">
        <v>2</v>
      </c>
      <c r="E1595">
        <v>2</v>
      </c>
      <c r="F1595">
        <v>0</v>
      </c>
      <c r="G1595">
        <v>0</v>
      </c>
    </row>
    <row r="1596" spans="1:7" x14ac:dyDescent="0.25">
      <c r="A1596" s="3" t="s">
        <v>66</v>
      </c>
      <c r="B1596" s="3" t="s">
        <v>7</v>
      </c>
      <c r="C1596" s="3">
        <v>1</v>
      </c>
      <c r="D1596" s="3">
        <v>1</v>
      </c>
      <c r="E1596" s="3">
        <v>1</v>
      </c>
      <c r="F1596" s="3">
        <v>0</v>
      </c>
      <c r="G1596" s="3">
        <v>0</v>
      </c>
    </row>
    <row r="1597" spans="1:7" x14ac:dyDescent="0.25">
      <c r="A1597" t="s">
        <v>66</v>
      </c>
      <c r="B1597" t="s">
        <v>8</v>
      </c>
      <c r="C1597">
        <v>27</v>
      </c>
      <c r="D1597">
        <v>27</v>
      </c>
      <c r="E1597">
        <v>24</v>
      </c>
      <c r="F1597">
        <v>3</v>
      </c>
      <c r="G1597">
        <v>0</v>
      </c>
    </row>
    <row r="1598" spans="1:7" x14ac:dyDescent="0.25">
      <c r="A1598" s="3" t="s">
        <v>66</v>
      </c>
      <c r="B1598" s="3" t="s">
        <v>8</v>
      </c>
      <c r="C1598" s="3">
        <v>15</v>
      </c>
      <c r="D1598" s="3">
        <v>14</v>
      </c>
      <c r="E1598" s="3">
        <v>13</v>
      </c>
      <c r="F1598" s="3">
        <v>1</v>
      </c>
      <c r="G1598" s="3">
        <v>1</v>
      </c>
    </row>
    <row r="1599" spans="1:7" x14ac:dyDescent="0.25">
      <c r="A1599" t="s">
        <v>66</v>
      </c>
      <c r="B1599" t="s">
        <v>9</v>
      </c>
      <c r="C1599">
        <v>11</v>
      </c>
      <c r="D1599">
        <v>11</v>
      </c>
      <c r="E1599">
        <v>11</v>
      </c>
      <c r="F1599">
        <v>0</v>
      </c>
      <c r="G1599">
        <v>0</v>
      </c>
    </row>
    <row r="1600" spans="1:7" x14ac:dyDescent="0.25">
      <c r="A1600" t="s">
        <v>66</v>
      </c>
      <c r="B1600" t="s">
        <v>10</v>
      </c>
      <c r="C1600">
        <v>64</v>
      </c>
      <c r="D1600">
        <v>64</v>
      </c>
      <c r="E1600">
        <v>57</v>
      </c>
      <c r="F1600">
        <v>7</v>
      </c>
      <c r="G1600">
        <v>0</v>
      </c>
    </row>
    <row r="1601" spans="1:7" x14ac:dyDescent="0.25">
      <c r="A1601" s="3" t="s">
        <v>66</v>
      </c>
      <c r="B1601" s="3" t="s">
        <v>10</v>
      </c>
      <c r="C1601" s="3">
        <v>50</v>
      </c>
      <c r="D1601" s="3">
        <v>50</v>
      </c>
      <c r="E1601" s="3">
        <v>40</v>
      </c>
      <c r="F1601" s="3">
        <v>10</v>
      </c>
      <c r="G1601" s="3">
        <v>0</v>
      </c>
    </row>
    <row r="1602" spans="1:7" x14ac:dyDescent="0.25">
      <c r="A1602" t="s">
        <v>171</v>
      </c>
      <c r="B1602" t="s">
        <v>2</v>
      </c>
      <c r="C1602">
        <v>1</v>
      </c>
      <c r="D1602">
        <v>1</v>
      </c>
      <c r="E1602">
        <v>1</v>
      </c>
      <c r="F1602">
        <v>0</v>
      </c>
      <c r="G1602">
        <v>0</v>
      </c>
    </row>
    <row r="1603" spans="1:7" x14ac:dyDescent="0.25">
      <c r="A1603" s="3" t="s">
        <v>171</v>
      </c>
      <c r="B1603" s="3" t="s">
        <v>2</v>
      </c>
      <c r="C1603" s="3">
        <v>3</v>
      </c>
      <c r="D1603" s="3">
        <v>3</v>
      </c>
      <c r="E1603" s="3">
        <v>2</v>
      </c>
      <c r="F1603" s="3">
        <v>1</v>
      </c>
      <c r="G1603" s="3">
        <v>0</v>
      </c>
    </row>
    <row r="1604" spans="1:7" x14ac:dyDescent="0.25">
      <c r="A1604" t="s">
        <v>171</v>
      </c>
      <c r="B1604" t="s">
        <v>5</v>
      </c>
      <c r="C1604">
        <v>4</v>
      </c>
      <c r="D1604">
        <v>4</v>
      </c>
      <c r="E1604">
        <f>2+1</f>
        <v>3</v>
      </c>
      <c r="F1604">
        <f>2-2+1</f>
        <v>1</v>
      </c>
      <c r="G1604">
        <v>0</v>
      </c>
    </row>
    <row r="1605" spans="1:7" x14ac:dyDescent="0.25">
      <c r="A1605" s="3" t="s">
        <v>171</v>
      </c>
      <c r="B1605" s="3" t="s">
        <v>5</v>
      </c>
      <c r="C1605" s="3">
        <v>1</v>
      </c>
      <c r="D1605" s="3">
        <v>1</v>
      </c>
      <c r="E1605" s="3">
        <v>0</v>
      </c>
      <c r="F1605" s="3">
        <v>1</v>
      </c>
      <c r="G1605" s="3">
        <v>0</v>
      </c>
    </row>
    <row r="1606" spans="1:7" x14ac:dyDescent="0.25">
      <c r="A1606" t="s">
        <v>171</v>
      </c>
      <c r="B1606" t="s">
        <v>185</v>
      </c>
      <c r="C1606">
        <f>37+1</f>
        <v>38</v>
      </c>
      <c r="D1606">
        <f>37+1</f>
        <v>38</v>
      </c>
      <c r="E1606">
        <f>28+5</f>
        <v>33</v>
      </c>
      <c r="F1606">
        <f>10-7+2</f>
        <v>5</v>
      </c>
      <c r="G1606">
        <v>0</v>
      </c>
    </row>
    <row r="1607" spans="1:7" x14ac:dyDescent="0.25">
      <c r="A1607" s="3" t="s">
        <v>171</v>
      </c>
      <c r="B1607" s="3" t="s">
        <v>185</v>
      </c>
      <c r="C1607" s="3">
        <v>25</v>
      </c>
      <c r="D1607" s="3">
        <v>25</v>
      </c>
      <c r="E1607" s="3">
        <v>21</v>
      </c>
      <c r="F1607" s="3">
        <v>4</v>
      </c>
      <c r="G1607" s="3">
        <v>0</v>
      </c>
    </row>
    <row r="1608" spans="1:7" x14ac:dyDescent="0.25">
      <c r="A1608" t="s">
        <v>171</v>
      </c>
      <c r="B1608" t="s">
        <v>186</v>
      </c>
      <c r="C1608">
        <f>46+6</f>
        <v>52</v>
      </c>
      <c r="D1608">
        <f>46+6</f>
        <v>52</v>
      </c>
      <c r="E1608">
        <f>37+5</f>
        <v>42</v>
      </c>
      <c r="F1608">
        <f>9+1</f>
        <v>10</v>
      </c>
      <c r="G1608">
        <v>0</v>
      </c>
    </row>
    <row r="1609" spans="1:7" x14ac:dyDescent="0.25">
      <c r="A1609" s="3" t="s">
        <v>171</v>
      </c>
      <c r="B1609" s="3" t="s">
        <v>186</v>
      </c>
      <c r="C1609" s="3">
        <v>35</v>
      </c>
      <c r="D1609" s="3">
        <v>34</v>
      </c>
      <c r="E1609" s="3">
        <f>22+5</f>
        <v>27</v>
      </c>
      <c r="F1609" s="3">
        <f>12-6+1</f>
        <v>7</v>
      </c>
      <c r="G1609" s="3">
        <v>0</v>
      </c>
    </row>
    <row r="1610" spans="1:7" x14ac:dyDescent="0.25">
      <c r="A1610" t="s">
        <v>171</v>
      </c>
      <c r="B1610" t="s">
        <v>187</v>
      </c>
      <c r="C1610">
        <v>17</v>
      </c>
      <c r="D1610">
        <v>17</v>
      </c>
      <c r="E1610">
        <v>14</v>
      </c>
      <c r="F1610">
        <v>3</v>
      </c>
      <c r="G1610">
        <v>0</v>
      </c>
    </row>
    <row r="1611" spans="1:7" x14ac:dyDescent="0.25">
      <c r="A1611" s="3" t="s">
        <v>171</v>
      </c>
      <c r="B1611" s="3" t="s">
        <v>187</v>
      </c>
      <c r="C1611" s="3">
        <v>17</v>
      </c>
      <c r="D1611" s="3">
        <v>17</v>
      </c>
      <c r="E1611" s="3">
        <f>13+3</f>
        <v>16</v>
      </c>
      <c r="F1611" s="3">
        <f>4-3+0</f>
        <v>1</v>
      </c>
      <c r="G1611" s="3">
        <v>0</v>
      </c>
    </row>
    <row r="1612" spans="1:7" x14ac:dyDescent="0.25">
      <c r="A1612" t="s">
        <v>171</v>
      </c>
      <c r="B1612" t="s">
        <v>6</v>
      </c>
      <c r="C1612">
        <v>17</v>
      </c>
      <c r="D1612">
        <v>17</v>
      </c>
      <c r="E1612">
        <v>17</v>
      </c>
      <c r="F1612">
        <v>0</v>
      </c>
      <c r="G1612">
        <v>0</v>
      </c>
    </row>
    <row r="1613" spans="1:7" x14ac:dyDescent="0.25">
      <c r="A1613" s="3" t="s">
        <v>171</v>
      </c>
      <c r="B1613" s="3" t="s">
        <v>6</v>
      </c>
      <c r="C1613" s="3">
        <v>8</v>
      </c>
      <c r="D1613" s="3">
        <v>8</v>
      </c>
      <c r="E1613" s="3">
        <v>7</v>
      </c>
      <c r="F1613" s="3">
        <v>1</v>
      </c>
      <c r="G1613" s="3">
        <v>0</v>
      </c>
    </row>
    <row r="1614" spans="1:7" x14ac:dyDescent="0.25">
      <c r="A1614" t="s">
        <v>171</v>
      </c>
      <c r="B1614" t="s">
        <v>7</v>
      </c>
      <c r="C1614">
        <v>1</v>
      </c>
      <c r="D1614">
        <v>1</v>
      </c>
      <c r="E1614">
        <v>1</v>
      </c>
      <c r="F1614">
        <v>0</v>
      </c>
      <c r="G1614">
        <v>0</v>
      </c>
    </row>
    <row r="1615" spans="1:7" x14ac:dyDescent="0.25">
      <c r="A1615" t="s">
        <v>171</v>
      </c>
      <c r="B1615" t="s">
        <v>8</v>
      </c>
      <c r="C1615">
        <v>4</v>
      </c>
      <c r="D1615">
        <v>4</v>
      </c>
      <c r="E1615">
        <v>4</v>
      </c>
      <c r="F1615">
        <v>0</v>
      </c>
      <c r="G1615">
        <v>0</v>
      </c>
    </row>
    <row r="1616" spans="1:7" x14ac:dyDescent="0.25">
      <c r="A1616" s="3" t="s">
        <v>171</v>
      </c>
      <c r="B1616" s="3" t="s">
        <v>8</v>
      </c>
      <c r="C1616" s="3">
        <v>3</v>
      </c>
      <c r="D1616" s="3">
        <v>2</v>
      </c>
      <c r="E1616" s="3">
        <v>1</v>
      </c>
      <c r="F1616" s="3">
        <v>1</v>
      </c>
      <c r="G1616" s="3">
        <v>0</v>
      </c>
    </row>
    <row r="1617" spans="1:7" x14ac:dyDescent="0.25">
      <c r="A1617" t="s">
        <v>171</v>
      </c>
      <c r="B1617" t="s">
        <v>9</v>
      </c>
      <c r="C1617">
        <v>3</v>
      </c>
      <c r="D1617">
        <v>3</v>
      </c>
      <c r="E1617">
        <v>3</v>
      </c>
      <c r="F1617">
        <v>0</v>
      </c>
      <c r="G1617">
        <v>0</v>
      </c>
    </row>
    <row r="1618" spans="1:7" x14ac:dyDescent="0.25">
      <c r="A1618" t="s">
        <v>171</v>
      </c>
      <c r="B1618" t="s">
        <v>10</v>
      </c>
      <c r="C1618">
        <v>26</v>
      </c>
      <c r="D1618">
        <v>26</v>
      </c>
      <c r="E1618">
        <v>24</v>
      </c>
      <c r="F1618">
        <v>2</v>
      </c>
      <c r="G1618">
        <v>0</v>
      </c>
    </row>
    <row r="1619" spans="1:7" x14ac:dyDescent="0.25">
      <c r="A1619" s="3" t="s">
        <v>171</v>
      </c>
      <c r="B1619" s="3" t="s">
        <v>10</v>
      </c>
      <c r="C1619" s="3">
        <v>19</v>
      </c>
      <c r="D1619" s="3">
        <v>19</v>
      </c>
      <c r="E1619" s="3">
        <v>18</v>
      </c>
      <c r="F1619" s="3">
        <v>1</v>
      </c>
      <c r="G1619" s="3">
        <v>0</v>
      </c>
    </row>
    <row r="1620" spans="1:7" x14ac:dyDescent="0.25">
      <c r="A1620" t="s">
        <v>171</v>
      </c>
      <c r="B1620" t="s">
        <v>177</v>
      </c>
      <c r="C1620">
        <v>2</v>
      </c>
      <c r="D1620">
        <v>2</v>
      </c>
      <c r="E1620">
        <v>2</v>
      </c>
      <c r="F1620">
        <v>0</v>
      </c>
      <c r="G1620">
        <v>0</v>
      </c>
    </row>
    <row r="1621" spans="1:7" x14ac:dyDescent="0.25">
      <c r="A1621" t="s">
        <v>43</v>
      </c>
      <c r="B1621" t="s">
        <v>2</v>
      </c>
      <c r="C1621">
        <v>15</v>
      </c>
      <c r="D1621">
        <v>13</v>
      </c>
      <c r="E1621">
        <v>4</v>
      </c>
      <c r="F1621">
        <v>9</v>
      </c>
      <c r="G1621">
        <v>0</v>
      </c>
    </row>
    <row r="1622" spans="1:7" x14ac:dyDescent="0.25">
      <c r="A1622" t="s">
        <v>43</v>
      </c>
      <c r="B1622" t="s">
        <v>4</v>
      </c>
      <c r="C1622">
        <v>4</v>
      </c>
      <c r="D1622">
        <v>0</v>
      </c>
      <c r="E1622">
        <v>0</v>
      </c>
      <c r="F1622">
        <v>0</v>
      </c>
      <c r="G1622">
        <v>0</v>
      </c>
    </row>
    <row r="1623" spans="1:7" x14ac:dyDescent="0.25">
      <c r="A1623" t="s">
        <v>43</v>
      </c>
      <c r="B1623" t="s">
        <v>5</v>
      </c>
      <c r="C1623">
        <v>1</v>
      </c>
      <c r="D1623">
        <v>1</v>
      </c>
      <c r="E1623">
        <v>1</v>
      </c>
      <c r="F1623">
        <v>0</v>
      </c>
      <c r="G1623">
        <v>0</v>
      </c>
    </row>
    <row r="1624" spans="1:7" x14ac:dyDescent="0.25">
      <c r="A1624" t="s">
        <v>43</v>
      </c>
      <c r="B1624" t="s">
        <v>185</v>
      </c>
      <c r="C1624">
        <f>8+1</f>
        <v>9</v>
      </c>
      <c r="D1624">
        <f>8+1</f>
        <v>9</v>
      </c>
      <c r="E1624">
        <f>7+1</f>
        <v>8</v>
      </c>
      <c r="F1624">
        <v>1</v>
      </c>
      <c r="G1624">
        <v>0</v>
      </c>
    </row>
    <row r="1625" spans="1:7" x14ac:dyDescent="0.25">
      <c r="A1625" s="3" t="s">
        <v>43</v>
      </c>
      <c r="B1625" s="3" t="s">
        <v>185</v>
      </c>
      <c r="C1625" s="3">
        <v>3</v>
      </c>
      <c r="D1625" s="3">
        <v>3</v>
      </c>
      <c r="E1625" s="3">
        <v>3</v>
      </c>
      <c r="F1625" s="3">
        <v>0</v>
      </c>
      <c r="G1625" s="3">
        <v>0</v>
      </c>
    </row>
    <row r="1626" spans="1:7" x14ac:dyDescent="0.25">
      <c r="A1626" t="s">
        <v>43</v>
      </c>
      <c r="B1626" t="s">
        <v>186</v>
      </c>
      <c r="C1626">
        <v>8</v>
      </c>
      <c r="D1626">
        <v>8</v>
      </c>
      <c r="E1626">
        <f>4+2</f>
        <v>6</v>
      </c>
      <c r="F1626">
        <f>4-4+2</f>
        <v>2</v>
      </c>
      <c r="G1626">
        <v>0</v>
      </c>
    </row>
    <row r="1627" spans="1:7" x14ac:dyDescent="0.25">
      <c r="A1627" s="3" t="s">
        <v>43</v>
      </c>
      <c r="B1627" s="3" t="s">
        <v>186</v>
      </c>
      <c r="C1627" s="3">
        <v>6</v>
      </c>
      <c r="D1627" s="3">
        <v>4</v>
      </c>
      <c r="E1627" s="3">
        <v>3</v>
      </c>
      <c r="F1627" s="3">
        <v>1</v>
      </c>
      <c r="G1627" s="3">
        <v>1</v>
      </c>
    </row>
    <row r="1628" spans="1:7" x14ac:dyDescent="0.25">
      <c r="A1628" t="s">
        <v>43</v>
      </c>
      <c r="B1628" t="s">
        <v>187</v>
      </c>
      <c r="C1628">
        <v>19</v>
      </c>
      <c r="D1628">
        <v>19</v>
      </c>
      <c r="E1628">
        <v>16</v>
      </c>
      <c r="F1628">
        <v>3</v>
      </c>
      <c r="G1628">
        <v>0</v>
      </c>
    </row>
    <row r="1629" spans="1:7" x14ac:dyDescent="0.25">
      <c r="A1629" s="3" t="s">
        <v>43</v>
      </c>
      <c r="B1629" s="3" t="s">
        <v>187</v>
      </c>
      <c r="C1629" s="3">
        <v>17</v>
      </c>
      <c r="D1629" s="3">
        <v>17</v>
      </c>
      <c r="E1629" s="3">
        <f>13+2</f>
        <v>15</v>
      </c>
      <c r="F1629" s="3">
        <f>4-3+1</f>
        <v>2</v>
      </c>
      <c r="G1629" s="3">
        <v>0</v>
      </c>
    </row>
    <row r="1630" spans="1:7" x14ac:dyDescent="0.25">
      <c r="A1630" t="s">
        <v>43</v>
      </c>
      <c r="B1630" t="s">
        <v>6</v>
      </c>
      <c r="C1630">
        <v>4</v>
      </c>
      <c r="D1630">
        <v>4</v>
      </c>
      <c r="E1630">
        <v>4</v>
      </c>
      <c r="F1630">
        <v>0</v>
      </c>
      <c r="G1630">
        <v>0</v>
      </c>
    </row>
    <row r="1631" spans="1:7" x14ac:dyDescent="0.25">
      <c r="A1631" s="3" t="s">
        <v>43</v>
      </c>
      <c r="B1631" s="3" t="s">
        <v>6</v>
      </c>
      <c r="C1631" s="3">
        <v>2</v>
      </c>
      <c r="D1631" s="3">
        <v>2</v>
      </c>
      <c r="E1631" s="3">
        <v>2</v>
      </c>
      <c r="F1631" s="3">
        <v>0</v>
      </c>
      <c r="G1631" s="3">
        <v>0</v>
      </c>
    </row>
    <row r="1632" spans="1:7" x14ac:dyDescent="0.25">
      <c r="A1632" t="s">
        <v>43</v>
      </c>
      <c r="B1632" t="s">
        <v>7</v>
      </c>
      <c r="C1632">
        <v>2</v>
      </c>
      <c r="D1632">
        <v>2</v>
      </c>
      <c r="E1632">
        <v>2</v>
      </c>
      <c r="F1632">
        <v>0</v>
      </c>
      <c r="G1632">
        <v>0</v>
      </c>
    </row>
    <row r="1633" spans="1:7" x14ac:dyDescent="0.25">
      <c r="A1633" t="s">
        <v>43</v>
      </c>
      <c r="B1633" t="s">
        <v>8</v>
      </c>
      <c r="C1633">
        <v>3</v>
      </c>
      <c r="D1633">
        <v>3</v>
      </c>
      <c r="E1633">
        <v>3</v>
      </c>
      <c r="F1633">
        <v>0</v>
      </c>
      <c r="G1633">
        <v>0</v>
      </c>
    </row>
    <row r="1634" spans="1:7" x14ac:dyDescent="0.25">
      <c r="A1634" t="s">
        <v>43</v>
      </c>
      <c r="B1634" t="s">
        <v>9</v>
      </c>
      <c r="C1634">
        <v>3</v>
      </c>
      <c r="D1634">
        <v>3</v>
      </c>
      <c r="E1634">
        <v>3</v>
      </c>
      <c r="F1634">
        <v>0</v>
      </c>
      <c r="G1634">
        <v>0</v>
      </c>
    </row>
    <row r="1635" spans="1:7" x14ac:dyDescent="0.25">
      <c r="A1635" t="s">
        <v>43</v>
      </c>
      <c r="B1635" t="s">
        <v>10</v>
      </c>
      <c r="C1635">
        <v>19</v>
      </c>
      <c r="D1635">
        <v>19</v>
      </c>
      <c r="E1635">
        <v>19</v>
      </c>
      <c r="F1635">
        <v>0</v>
      </c>
      <c r="G1635">
        <v>0</v>
      </c>
    </row>
    <row r="1636" spans="1:7" x14ac:dyDescent="0.25">
      <c r="A1636" s="3" t="s">
        <v>43</v>
      </c>
      <c r="B1636" s="3" t="s">
        <v>10</v>
      </c>
      <c r="C1636" s="3">
        <v>4</v>
      </c>
      <c r="D1636" s="3">
        <v>4</v>
      </c>
      <c r="E1636" s="3">
        <v>4</v>
      </c>
      <c r="F1636" s="3">
        <v>0</v>
      </c>
      <c r="G1636" s="3">
        <v>0</v>
      </c>
    </row>
    <row r="1637" spans="1:7" x14ac:dyDescent="0.25">
      <c r="A1637" t="s">
        <v>43</v>
      </c>
      <c r="B1637" t="s">
        <v>177</v>
      </c>
      <c r="C1637">
        <v>1</v>
      </c>
      <c r="D1637">
        <v>1</v>
      </c>
      <c r="E1637">
        <v>1</v>
      </c>
      <c r="F1637">
        <v>0</v>
      </c>
      <c r="G1637">
        <v>0</v>
      </c>
    </row>
    <row r="1638" spans="1:7" x14ac:dyDescent="0.25">
      <c r="A1638" t="s">
        <v>111</v>
      </c>
      <c r="B1638" t="s">
        <v>2</v>
      </c>
      <c r="C1638">
        <v>4</v>
      </c>
      <c r="D1638">
        <v>3</v>
      </c>
      <c r="E1638">
        <v>2</v>
      </c>
      <c r="F1638">
        <v>1</v>
      </c>
      <c r="G1638">
        <v>0</v>
      </c>
    </row>
    <row r="1639" spans="1:7" x14ac:dyDescent="0.25">
      <c r="A1639" t="s">
        <v>111</v>
      </c>
      <c r="B1639" t="s">
        <v>27</v>
      </c>
      <c r="C1639">
        <v>1</v>
      </c>
      <c r="D1639">
        <v>0</v>
      </c>
      <c r="E1639">
        <v>0</v>
      </c>
      <c r="F1639">
        <v>0</v>
      </c>
      <c r="G1639">
        <v>0</v>
      </c>
    </row>
    <row r="1640" spans="1:7" x14ac:dyDescent="0.25">
      <c r="A1640" t="s">
        <v>111</v>
      </c>
      <c r="B1640" t="s">
        <v>4</v>
      </c>
      <c r="C1640">
        <v>1</v>
      </c>
      <c r="D1640">
        <v>0</v>
      </c>
      <c r="E1640">
        <v>0</v>
      </c>
      <c r="F1640">
        <v>0</v>
      </c>
      <c r="G1640">
        <v>0</v>
      </c>
    </row>
    <row r="1641" spans="1:7" x14ac:dyDescent="0.25">
      <c r="A1641" t="s">
        <v>111</v>
      </c>
      <c r="B1641" t="s">
        <v>5</v>
      </c>
      <c r="C1641">
        <v>6</v>
      </c>
      <c r="D1641">
        <v>6</v>
      </c>
      <c r="E1641">
        <v>4</v>
      </c>
      <c r="F1641">
        <v>2</v>
      </c>
      <c r="G1641">
        <v>0</v>
      </c>
    </row>
    <row r="1642" spans="1:7" x14ac:dyDescent="0.25">
      <c r="A1642" s="3" t="s">
        <v>111</v>
      </c>
      <c r="B1642" s="3" t="s">
        <v>5</v>
      </c>
      <c r="C1642" s="3">
        <v>5</v>
      </c>
      <c r="D1642" s="3">
        <v>5</v>
      </c>
      <c r="E1642" s="3">
        <f>3+2</f>
        <v>5</v>
      </c>
      <c r="F1642" s="3">
        <f>2-2+0</f>
        <v>0</v>
      </c>
      <c r="G1642" s="3">
        <v>0</v>
      </c>
    </row>
    <row r="1643" spans="1:7" x14ac:dyDescent="0.25">
      <c r="A1643" t="s">
        <v>111</v>
      </c>
      <c r="B1643" t="s">
        <v>185</v>
      </c>
      <c r="C1643">
        <f>21+1</f>
        <v>22</v>
      </c>
      <c r="D1643">
        <f>21+1</f>
        <v>22</v>
      </c>
      <c r="E1643">
        <f>14+6</f>
        <v>20</v>
      </c>
      <c r="F1643">
        <f>8-7+1</f>
        <v>2</v>
      </c>
      <c r="G1643">
        <v>0</v>
      </c>
    </row>
    <row r="1644" spans="1:7" x14ac:dyDescent="0.25">
      <c r="A1644" s="3" t="s">
        <v>111</v>
      </c>
      <c r="B1644" s="3" t="s">
        <v>185</v>
      </c>
      <c r="C1644" s="3">
        <v>10</v>
      </c>
      <c r="D1644" s="3">
        <v>9</v>
      </c>
      <c r="E1644" s="3">
        <v>8</v>
      </c>
      <c r="F1644" s="3">
        <v>1</v>
      </c>
      <c r="G1644" s="3">
        <v>0</v>
      </c>
    </row>
    <row r="1645" spans="1:7" x14ac:dyDescent="0.25">
      <c r="A1645" t="s">
        <v>111</v>
      </c>
      <c r="B1645" t="s">
        <v>186</v>
      </c>
      <c r="C1645">
        <v>28</v>
      </c>
      <c r="D1645">
        <v>27</v>
      </c>
      <c r="E1645">
        <f>19+6</f>
        <v>25</v>
      </c>
      <c r="F1645">
        <f>8-9+3</f>
        <v>2</v>
      </c>
      <c r="G1645">
        <v>0</v>
      </c>
    </row>
    <row r="1646" spans="1:7" x14ac:dyDescent="0.25">
      <c r="A1646" s="3" t="s">
        <v>111</v>
      </c>
      <c r="B1646" s="3" t="s">
        <v>186</v>
      </c>
      <c r="C1646" s="3">
        <v>22</v>
      </c>
      <c r="D1646" s="3">
        <v>20</v>
      </c>
      <c r="E1646" s="3">
        <v>19</v>
      </c>
      <c r="F1646" s="3">
        <v>1</v>
      </c>
      <c r="G1646" s="3">
        <v>0</v>
      </c>
    </row>
    <row r="1647" spans="1:7" x14ac:dyDescent="0.25">
      <c r="A1647" t="s">
        <v>111</v>
      </c>
      <c r="B1647" t="s">
        <v>187</v>
      </c>
      <c r="C1647">
        <v>46</v>
      </c>
      <c r="D1647">
        <v>45</v>
      </c>
      <c r="E1647">
        <v>28</v>
      </c>
      <c r="F1647">
        <v>17</v>
      </c>
      <c r="G1647">
        <v>0</v>
      </c>
    </row>
    <row r="1648" spans="1:7" x14ac:dyDescent="0.25">
      <c r="A1648" s="3" t="s">
        <v>111</v>
      </c>
      <c r="B1648" s="3" t="s">
        <v>187</v>
      </c>
      <c r="C1648" s="3">
        <v>26</v>
      </c>
      <c r="D1648" s="3">
        <v>25</v>
      </c>
      <c r="E1648" s="3">
        <f>16+5</f>
        <v>21</v>
      </c>
      <c r="F1648" s="3">
        <f>9-8+3</f>
        <v>4</v>
      </c>
      <c r="G1648" s="3">
        <v>0</v>
      </c>
    </row>
    <row r="1649" spans="1:7" x14ac:dyDescent="0.25">
      <c r="A1649" t="s">
        <v>111</v>
      </c>
      <c r="B1649" t="s">
        <v>6</v>
      </c>
      <c r="C1649">
        <v>32</v>
      </c>
      <c r="D1649">
        <v>32</v>
      </c>
      <c r="E1649">
        <v>31</v>
      </c>
      <c r="F1649">
        <v>1</v>
      </c>
      <c r="G1649">
        <v>0</v>
      </c>
    </row>
    <row r="1650" spans="1:7" x14ac:dyDescent="0.25">
      <c r="A1650" s="3" t="s">
        <v>111</v>
      </c>
      <c r="B1650" s="3" t="s">
        <v>6</v>
      </c>
      <c r="C1650" s="3">
        <v>1</v>
      </c>
      <c r="D1650" s="3">
        <v>1</v>
      </c>
      <c r="E1650" s="3">
        <v>1</v>
      </c>
      <c r="F1650" s="3">
        <v>0</v>
      </c>
      <c r="G1650" s="3">
        <v>0</v>
      </c>
    </row>
    <row r="1651" spans="1:7" x14ac:dyDescent="0.25">
      <c r="A1651" t="s">
        <v>111</v>
      </c>
      <c r="B1651" t="s">
        <v>8</v>
      </c>
      <c r="C1651">
        <v>11</v>
      </c>
      <c r="D1651">
        <v>11</v>
      </c>
      <c r="E1651">
        <v>8</v>
      </c>
      <c r="F1651">
        <v>3</v>
      </c>
      <c r="G1651">
        <v>0</v>
      </c>
    </row>
    <row r="1652" spans="1:7" x14ac:dyDescent="0.25">
      <c r="A1652" s="3" t="s">
        <v>111</v>
      </c>
      <c r="B1652" s="3" t="s">
        <v>8</v>
      </c>
      <c r="C1652" s="3">
        <v>8</v>
      </c>
      <c r="D1652" s="3">
        <v>8</v>
      </c>
      <c r="E1652" s="3">
        <v>5</v>
      </c>
      <c r="F1652" s="3">
        <v>3</v>
      </c>
      <c r="G1652" s="3">
        <v>0</v>
      </c>
    </row>
    <row r="1653" spans="1:7" x14ac:dyDescent="0.25">
      <c r="A1653" t="s">
        <v>111</v>
      </c>
      <c r="B1653" t="s">
        <v>9</v>
      </c>
      <c r="C1653">
        <v>3</v>
      </c>
      <c r="D1653">
        <v>3</v>
      </c>
      <c r="E1653">
        <v>2</v>
      </c>
      <c r="F1653">
        <v>1</v>
      </c>
      <c r="G1653">
        <v>0</v>
      </c>
    </row>
    <row r="1654" spans="1:7" x14ac:dyDescent="0.25">
      <c r="A1654" s="3" t="s">
        <v>111</v>
      </c>
      <c r="B1654" s="3" t="s">
        <v>9</v>
      </c>
      <c r="C1654" s="3">
        <v>3</v>
      </c>
      <c r="D1654" s="3">
        <v>3</v>
      </c>
      <c r="E1654" s="3">
        <v>3</v>
      </c>
      <c r="F1654" s="3">
        <v>0</v>
      </c>
      <c r="G1654" s="3">
        <v>0</v>
      </c>
    </row>
    <row r="1655" spans="1:7" x14ac:dyDescent="0.25">
      <c r="A1655" t="s">
        <v>111</v>
      </c>
      <c r="B1655" t="s">
        <v>10</v>
      </c>
      <c r="C1655">
        <v>38</v>
      </c>
      <c r="D1655">
        <v>38</v>
      </c>
      <c r="E1655">
        <v>33</v>
      </c>
      <c r="F1655">
        <v>5</v>
      </c>
      <c r="G1655">
        <v>0</v>
      </c>
    </row>
    <row r="1656" spans="1:7" x14ac:dyDescent="0.25">
      <c r="A1656" s="3" t="s">
        <v>111</v>
      </c>
      <c r="B1656" s="3" t="s">
        <v>10</v>
      </c>
      <c r="C1656" s="3">
        <v>15</v>
      </c>
      <c r="D1656" s="3">
        <v>15</v>
      </c>
      <c r="E1656" s="3">
        <v>14</v>
      </c>
      <c r="F1656" s="3">
        <v>1</v>
      </c>
      <c r="G1656" s="3">
        <v>0</v>
      </c>
    </row>
    <row r="1657" spans="1:7" x14ac:dyDescent="0.25">
      <c r="A1657" t="s">
        <v>111</v>
      </c>
      <c r="B1657" t="s">
        <v>177</v>
      </c>
      <c r="C1657">
        <v>3</v>
      </c>
      <c r="D1657">
        <v>3</v>
      </c>
      <c r="E1657">
        <v>3</v>
      </c>
      <c r="F1657">
        <v>0</v>
      </c>
      <c r="G1657">
        <v>0</v>
      </c>
    </row>
    <row r="1658" spans="1:7" x14ac:dyDescent="0.25">
      <c r="A1658" t="s">
        <v>35</v>
      </c>
      <c r="B1658" t="s">
        <v>2</v>
      </c>
      <c r="C1658">
        <v>5</v>
      </c>
      <c r="D1658">
        <v>4</v>
      </c>
      <c r="E1658">
        <v>4</v>
      </c>
      <c r="F1658">
        <v>0</v>
      </c>
      <c r="G1658">
        <v>0</v>
      </c>
    </row>
    <row r="1659" spans="1:7" x14ac:dyDescent="0.25">
      <c r="A1659" s="3" t="s">
        <v>35</v>
      </c>
      <c r="B1659" s="3" t="s">
        <v>2</v>
      </c>
      <c r="C1659" s="3">
        <v>2</v>
      </c>
      <c r="D1659" s="3">
        <v>2</v>
      </c>
      <c r="E1659" s="3">
        <v>2</v>
      </c>
      <c r="F1659" s="3">
        <v>0</v>
      </c>
      <c r="G1659" s="3">
        <v>0</v>
      </c>
    </row>
    <row r="1660" spans="1:7" x14ac:dyDescent="0.25">
      <c r="A1660" t="s">
        <v>35</v>
      </c>
      <c r="B1660" t="s">
        <v>5</v>
      </c>
      <c r="C1660">
        <v>16</v>
      </c>
      <c r="D1660">
        <v>16</v>
      </c>
      <c r="E1660">
        <f>11+5</f>
        <v>16</v>
      </c>
      <c r="F1660">
        <f>5-6+1</f>
        <v>0</v>
      </c>
      <c r="G1660">
        <v>0</v>
      </c>
    </row>
    <row r="1661" spans="1:7" x14ac:dyDescent="0.25">
      <c r="A1661" s="3" t="s">
        <v>35</v>
      </c>
      <c r="B1661" s="3" t="s">
        <v>5</v>
      </c>
      <c r="C1661" s="3">
        <v>5</v>
      </c>
      <c r="D1661" s="3">
        <v>5</v>
      </c>
      <c r="E1661" s="3">
        <v>5</v>
      </c>
      <c r="F1661" s="3">
        <v>0</v>
      </c>
      <c r="G1661" s="3">
        <v>0</v>
      </c>
    </row>
    <row r="1662" spans="1:7" x14ac:dyDescent="0.25">
      <c r="A1662" t="s">
        <v>35</v>
      </c>
      <c r="B1662" t="s">
        <v>185</v>
      </c>
      <c r="C1662">
        <f>14+8</f>
        <v>22</v>
      </c>
      <c r="D1662">
        <f>13+8</f>
        <v>21</v>
      </c>
      <c r="E1662">
        <f>15+6</f>
        <v>21</v>
      </c>
      <c r="F1662">
        <v>0</v>
      </c>
      <c r="G1662">
        <v>0</v>
      </c>
    </row>
    <row r="1663" spans="1:7" x14ac:dyDescent="0.25">
      <c r="A1663" s="3" t="s">
        <v>35</v>
      </c>
      <c r="B1663" s="3" t="s">
        <v>185</v>
      </c>
      <c r="C1663" s="3">
        <v>22</v>
      </c>
      <c r="D1663" s="3">
        <v>21</v>
      </c>
      <c r="E1663" s="3">
        <f>17+1</f>
        <v>18</v>
      </c>
      <c r="F1663" s="3">
        <f>4-2+1</f>
        <v>3</v>
      </c>
      <c r="G1663" s="3">
        <v>0</v>
      </c>
    </row>
    <row r="1664" spans="1:7" x14ac:dyDescent="0.25">
      <c r="A1664" t="s">
        <v>35</v>
      </c>
      <c r="B1664" t="s">
        <v>186</v>
      </c>
      <c r="C1664">
        <f>39+3</f>
        <v>42</v>
      </c>
      <c r="D1664">
        <f>36+3</f>
        <v>39</v>
      </c>
      <c r="E1664">
        <f>31+7</f>
        <v>38</v>
      </c>
      <c r="F1664">
        <f>8-8+1</f>
        <v>1</v>
      </c>
      <c r="G1664">
        <v>1</v>
      </c>
    </row>
    <row r="1665" spans="1:7" x14ac:dyDescent="0.25">
      <c r="A1665" s="3" t="s">
        <v>35</v>
      </c>
      <c r="B1665" s="3" t="s">
        <v>186</v>
      </c>
      <c r="C1665" s="3">
        <v>29</v>
      </c>
      <c r="D1665" s="3">
        <v>29</v>
      </c>
      <c r="E1665" s="3">
        <v>28</v>
      </c>
      <c r="F1665" s="3">
        <v>1</v>
      </c>
      <c r="G1665" s="3">
        <v>0</v>
      </c>
    </row>
    <row r="1666" spans="1:7" x14ac:dyDescent="0.25">
      <c r="A1666" t="s">
        <v>35</v>
      </c>
      <c r="B1666" t="s">
        <v>187</v>
      </c>
      <c r="C1666">
        <v>38</v>
      </c>
      <c r="D1666">
        <v>37</v>
      </c>
      <c r="E1666">
        <f>28+8</f>
        <v>36</v>
      </c>
      <c r="F1666">
        <f>9-8+0</f>
        <v>1</v>
      </c>
      <c r="G1666">
        <v>0</v>
      </c>
    </row>
    <row r="1667" spans="1:7" x14ac:dyDescent="0.25">
      <c r="A1667" s="3" t="s">
        <v>35</v>
      </c>
      <c r="B1667" s="3" t="s">
        <v>187</v>
      </c>
      <c r="C1667" s="3">
        <v>33</v>
      </c>
      <c r="D1667" s="3">
        <v>33</v>
      </c>
      <c r="E1667" s="3">
        <v>29</v>
      </c>
      <c r="F1667" s="3">
        <v>4</v>
      </c>
      <c r="G1667" s="3">
        <v>0</v>
      </c>
    </row>
    <row r="1668" spans="1:7" x14ac:dyDescent="0.25">
      <c r="A1668" t="s">
        <v>35</v>
      </c>
      <c r="B1668" t="s">
        <v>6</v>
      </c>
      <c r="C1668">
        <v>10</v>
      </c>
      <c r="D1668">
        <v>10</v>
      </c>
      <c r="E1668">
        <v>10</v>
      </c>
      <c r="F1668">
        <v>0</v>
      </c>
      <c r="G1668">
        <v>0</v>
      </c>
    </row>
    <row r="1669" spans="1:7" x14ac:dyDescent="0.25">
      <c r="A1669" s="3" t="s">
        <v>35</v>
      </c>
      <c r="B1669" s="3" t="s">
        <v>6</v>
      </c>
      <c r="C1669" s="3">
        <v>1</v>
      </c>
      <c r="D1669" s="3">
        <v>1</v>
      </c>
      <c r="E1669" s="3">
        <v>1</v>
      </c>
      <c r="F1669" s="3">
        <v>0</v>
      </c>
      <c r="G1669" s="3">
        <v>0</v>
      </c>
    </row>
    <row r="1670" spans="1:7" x14ac:dyDescent="0.25">
      <c r="A1670" t="s">
        <v>35</v>
      </c>
      <c r="B1670" t="s">
        <v>8</v>
      </c>
      <c r="C1670">
        <v>15</v>
      </c>
      <c r="D1670">
        <v>15</v>
      </c>
      <c r="E1670">
        <v>14</v>
      </c>
      <c r="F1670">
        <v>1</v>
      </c>
      <c r="G1670">
        <v>0</v>
      </c>
    </row>
    <row r="1671" spans="1:7" x14ac:dyDescent="0.25">
      <c r="A1671" s="3" t="s">
        <v>35</v>
      </c>
      <c r="B1671" s="3" t="s">
        <v>8</v>
      </c>
      <c r="C1671" s="3">
        <v>26</v>
      </c>
      <c r="D1671" s="3">
        <v>26</v>
      </c>
      <c r="E1671" s="3">
        <v>14</v>
      </c>
      <c r="F1671" s="3">
        <v>12</v>
      </c>
      <c r="G1671" s="3">
        <v>0</v>
      </c>
    </row>
    <row r="1672" spans="1:7" x14ac:dyDescent="0.25">
      <c r="A1672" t="s">
        <v>35</v>
      </c>
      <c r="B1672" t="s">
        <v>9</v>
      </c>
      <c r="C1672">
        <v>11</v>
      </c>
      <c r="D1672">
        <v>11</v>
      </c>
      <c r="E1672">
        <v>11</v>
      </c>
      <c r="F1672">
        <v>0</v>
      </c>
      <c r="G1672">
        <v>0</v>
      </c>
    </row>
    <row r="1673" spans="1:7" x14ac:dyDescent="0.25">
      <c r="A1673" s="3" t="s">
        <v>35</v>
      </c>
      <c r="B1673" s="3" t="s">
        <v>9</v>
      </c>
      <c r="C1673" s="3">
        <v>13</v>
      </c>
      <c r="D1673" s="3">
        <v>13</v>
      </c>
      <c r="E1673" s="3">
        <v>11</v>
      </c>
      <c r="F1673" s="3">
        <v>2</v>
      </c>
      <c r="G1673" s="3">
        <v>0</v>
      </c>
    </row>
    <row r="1674" spans="1:7" x14ac:dyDescent="0.25">
      <c r="A1674" t="s">
        <v>35</v>
      </c>
      <c r="B1674" t="s">
        <v>10</v>
      </c>
      <c r="C1674">
        <v>57</v>
      </c>
      <c r="D1674">
        <v>55</v>
      </c>
      <c r="E1674">
        <v>45</v>
      </c>
      <c r="F1674">
        <v>10</v>
      </c>
      <c r="G1674">
        <v>2</v>
      </c>
    </row>
    <row r="1675" spans="1:7" x14ac:dyDescent="0.25">
      <c r="A1675" s="3" t="s">
        <v>35</v>
      </c>
      <c r="B1675" s="3" t="s">
        <v>10</v>
      </c>
      <c r="C1675" s="3">
        <v>59</v>
      </c>
      <c r="D1675" s="3">
        <v>59</v>
      </c>
      <c r="E1675" s="3">
        <v>43</v>
      </c>
      <c r="F1675" s="3">
        <v>16</v>
      </c>
      <c r="G1675" s="3">
        <v>0</v>
      </c>
    </row>
    <row r="1676" spans="1:7" x14ac:dyDescent="0.25">
      <c r="A1676" t="s">
        <v>35</v>
      </c>
      <c r="B1676" t="s">
        <v>177</v>
      </c>
      <c r="C1676">
        <v>16</v>
      </c>
      <c r="D1676">
        <v>16</v>
      </c>
      <c r="E1676">
        <v>16</v>
      </c>
      <c r="F1676">
        <v>0</v>
      </c>
      <c r="G1676">
        <v>0</v>
      </c>
    </row>
    <row r="1677" spans="1:7" x14ac:dyDescent="0.25">
      <c r="A1677" s="3" t="s">
        <v>35</v>
      </c>
      <c r="B1677" s="3" t="s">
        <v>177</v>
      </c>
      <c r="C1677" s="3">
        <v>5</v>
      </c>
      <c r="D1677" s="3">
        <v>4</v>
      </c>
      <c r="E1677" s="3">
        <v>4</v>
      </c>
      <c r="F1677" s="3">
        <v>0</v>
      </c>
      <c r="G1677" s="3">
        <v>0</v>
      </c>
    </row>
    <row r="1678" spans="1:7" x14ac:dyDescent="0.25">
      <c r="A1678" t="s">
        <v>163</v>
      </c>
      <c r="B1678" t="s">
        <v>5</v>
      </c>
      <c r="C1678">
        <v>27</v>
      </c>
      <c r="D1678">
        <v>26</v>
      </c>
      <c r="E1678">
        <v>22</v>
      </c>
      <c r="F1678">
        <v>4</v>
      </c>
      <c r="G1678">
        <v>0</v>
      </c>
    </row>
    <row r="1679" spans="1:7" x14ac:dyDescent="0.25">
      <c r="A1679" s="3" t="s">
        <v>163</v>
      </c>
      <c r="B1679" s="3" t="s">
        <v>5</v>
      </c>
      <c r="C1679" s="3">
        <v>10</v>
      </c>
      <c r="D1679" s="3">
        <v>10</v>
      </c>
      <c r="E1679" s="3">
        <f>8+2</f>
        <v>10</v>
      </c>
      <c r="F1679" s="3">
        <f>2-2+0</f>
        <v>0</v>
      </c>
      <c r="G1679" s="3">
        <v>0</v>
      </c>
    </row>
    <row r="1680" spans="1:7" x14ac:dyDescent="0.25">
      <c r="A1680" t="s">
        <v>163</v>
      </c>
      <c r="B1680" t="s">
        <v>185</v>
      </c>
      <c r="C1680">
        <f>20+3</f>
        <v>23</v>
      </c>
      <c r="D1680">
        <f>20+3</f>
        <v>23</v>
      </c>
      <c r="E1680">
        <f>15+7</f>
        <v>22</v>
      </c>
      <c r="F1680">
        <f>8-8+1</f>
        <v>1</v>
      </c>
      <c r="G1680">
        <v>0</v>
      </c>
    </row>
    <row r="1681" spans="1:7" x14ac:dyDescent="0.25">
      <c r="A1681" s="3" t="s">
        <v>163</v>
      </c>
      <c r="B1681" s="3" t="s">
        <v>185</v>
      </c>
      <c r="C1681" s="3">
        <v>21</v>
      </c>
      <c r="D1681" s="3">
        <v>20</v>
      </c>
      <c r="E1681" s="3">
        <v>16</v>
      </c>
      <c r="F1681" s="3">
        <v>4</v>
      </c>
      <c r="G1681" s="3">
        <v>0</v>
      </c>
    </row>
    <row r="1682" spans="1:7" x14ac:dyDescent="0.25">
      <c r="A1682" t="s">
        <v>163</v>
      </c>
      <c r="B1682" t="s">
        <v>186</v>
      </c>
      <c r="C1682">
        <f>32+2</f>
        <v>34</v>
      </c>
      <c r="D1682">
        <f>32+2</f>
        <v>34</v>
      </c>
      <c r="E1682">
        <f>23+3</f>
        <v>26</v>
      </c>
      <c r="F1682">
        <f>11-3+0</f>
        <v>8</v>
      </c>
      <c r="G1682">
        <v>0</v>
      </c>
    </row>
    <row r="1683" spans="1:7" x14ac:dyDescent="0.25">
      <c r="A1683" s="3" t="s">
        <v>163</v>
      </c>
      <c r="B1683" s="3" t="s">
        <v>186</v>
      </c>
      <c r="C1683" s="3">
        <v>37</v>
      </c>
      <c r="D1683" s="3">
        <v>36</v>
      </c>
      <c r="E1683" s="3">
        <v>35</v>
      </c>
      <c r="F1683" s="3">
        <v>1</v>
      </c>
      <c r="G1683" s="3">
        <v>0</v>
      </c>
    </row>
    <row r="1684" spans="1:7" x14ac:dyDescent="0.25">
      <c r="A1684" t="s">
        <v>163</v>
      </c>
      <c r="B1684" t="s">
        <v>187</v>
      </c>
      <c r="C1684">
        <f>26+1</f>
        <v>27</v>
      </c>
      <c r="D1684">
        <f>26+1</f>
        <v>27</v>
      </c>
      <c r="E1684">
        <f>17+1</f>
        <v>18</v>
      </c>
      <c r="F1684">
        <v>9</v>
      </c>
      <c r="G1684">
        <v>0</v>
      </c>
    </row>
    <row r="1685" spans="1:7" x14ac:dyDescent="0.25">
      <c r="A1685" s="3" t="s">
        <v>163</v>
      </c>
      <c r="B1685" s="3" t="s">
        <v>187</v>
      </c>
      <c r="C1685" s="3">
        <v>23</v>
      </c>
      <c r="D1685" s="3">
        <v>23</v>
      </c>
      <c r="E1685" s="3">
        <f>15+3</f>
        <v>18</v>
      </c>
      <c r="F1685" s="3">
        <f>8-4+1</f>
        <v>5</v>
      </c>
      <c r="G1685" s="3">
        <v>0</v>
      </c>
    </row>
    <row r="1686" spans="1:7" x14ac:dyDescent="0.25">
      <c r="A1686" t="s">
        <v>163</v>
      </c>
      <c r="B1686" t="s">
        <v>6</v>
      </c>
      <c r="C1686">
        <v>7</v>
      </c>
      <c r="D1686">
        <v>7</v>
      </c>
      <c r="E1686">
        <v>7</v>
      </c>
      <c r="F1686">
        <v>0</v>
      </c>
      <c r="G1686">
        <v>0</v>
      </c>
    </row>
    <row r="1687" spans="1:7" x14ac:dyDescent="0.25">
      <c r="A1687" s="3" t="s">
        <v>163</v>
      </c>
      <c r="B1687" s="3" t="s">
        <v>6</v>
      </c>
      <c r="C1687" s="3">
        <v>1</v>
      </c>
      <c r="D1687" s="3">
        <v>1</v>
      </c>
      <c r="E1687" s="3">
        <v>1</v>
      </c>
      <c r="F1687" s="3">
        <v>0</v>
      </c>
      <c r="G1687" s="3">
        <v>0</v>
      </c>
    </row>
    <row r="1688" spans="1:7" x14ac:dyDescent="0.25">
      <c r="A1688" t="s">
        <v>163</v>
      </c>
      <c r="B1688" t="s">
        <v>8</v>
      </c>
      <c r="C1688">
        <v>15</v>
      </c>
      <c r="D1688">
        <v>15</v>
      </c>
      <c r="E1688">
        <v>13</v>
      </c>
      <c r="F1688">
        <v>2</v>
      </c>
      <c r="G1688">
        <v>0</v>
      </c>
    </row>
    <row r="1689" spans="1:7" x14ac:dyDescent="0.25">
      <c r="A1689" s="3" t="s">
        <v>163</v>
      </c>
      <c r="B1689" s="3" t="s">
        <v>8</v>
      </c>
      <c r="C1689" s="3">
        <v>7</v>
      </c>
      <c r="D1689" s="3">
        <v>7</v>
      </c>
      <c r="E1689" s="3">
        <v>5</v>
      </c>
      <c r="F1689" s="3">
        <v>2</v>
      </c>
      <c r="G1689" s="3">
        <v>0</v>
      </c>
    </row>
    <row r="1690" spans="1:7" x14ac:dyDescent="0.25">
      <c r="A1690" t="s">
        <v>163</v>
      </c>
      <c r="B1690" t="s">
        <v>9</v>
      </c>
      <c r="C1690">
        <v>6</v>
      </c>
      <c r="D1690">
        <v>6</v>
      </c>
      <c r="E1690">
        <v>5</v>
      </c>
      <c r="F1690">
        <v>1</v>
      </c>
      <c r="G1690">
        <v>0</v>
      </c>
    </row>
    <row r="1691" spans="1:7" x14ac:dyDescent="0.25">
      <c r="A1691" t="s">
        <v>163</v>
      </c>
      <c r="B1691" t="s">
        <v>10</v>
      </c>
      <c r="C1691">
        <v>35</v>
      </c>
      <c r="D1691">
        <v>35</v>
      </c>
      <c r="E1691">
        <v>32</v>
      </c>
      <c r="F1691">
        <v>3</v>
      </c>
      <c r="G1691">
        <v>0</v>
      </c>
    </row>
    <row r="1692" spans="1:7" x14ac:dyDescent="0.25">
      <c r="A1692" s="3" t="s">
        <v>163</v>
      </c>
      <c r="B1692" s="3" t="s">
        <v>10</v>
      </c>
      <c r="C1692" s="3">
        <v>20</v>
      </c>
      <c r="D1692" s="3">
        <v>19</v>
      </c>
      <c r="E1692" s="3">
        <v>18</v>
      </c>
      <c r="F1692" s="3">
        <v>1</v>
      </c>
      <c r="G1692" s="3">
        <v>0</v>
      </c>
    </row>
    <row r="1693" spans="1:7" x14ac:dyDescent="0.25">
      <c r="A1693" t="s">
        <v>163</v>
      </c>
      <c r="B1693" t="s">
        <v>177</v>
      </c>
      <c r="C1693">
        <v>24</v>
      </c>
      <c r="D1693">
        <v>24</v>
      </c>
      <c r="E1693">
        <v>24</v>
      </c>
      <c r="F1693">
        <v>0</v>
      </c>
      <c r="G1693">
        <v>0</v>
      </c>
    </row>
    <row r="1694" spans="1:7" x14ac:dyDescent="0.25">
      <c r="A1694" s="3" t="s">
        <v>163</v>
      </c>
      <c r="B1694" s="3" t="s">
        <v>177</v>
      </c>
      <c r="C1694" s="3">
        <v>8</v>
      </c>
      <c r="D1694" s="3">
        <v>8</v>
      </c>
      <c r="E1694" s="3">
        <v>8</v>
      </c>
      <c r="F1694" s="3">
        <v>0</v>
      </c>
      <c r="G1694" s="3">
        <v>0</v>
      </c>
    </row>
    <row r="1695" spans="1:7" x14ac:dyDescent="0.25">
      <c r="A1695" t="s">
        <v>113</v>
      </c>
      <c r="B1695" t="s">
        <v>2</v>
      </c>
      <c r="C1695">
        <v>1</v>
      </c>
      <c r="D1695">
        <v>1</v>
      </c>
      <c r="E1695">
        <v>0</v>
      </c>
      <c r="F1695">
        <v>1</v>
      </c>
      <c r="G1695">
        <v>0</v>
      </c>
    </row>
    <row r="1696" spans="1:7" x14ac:dyDescent="0.25">
      <c r="A1696" t="s">
        <v>113</v>
      </c>
      <c r="B1696" t="s">
        <v>5</v>
      </c>
      <c r="C1696">
        <v>8</v>
      </c>
      <c r="D1696">
        <v>8</v>
      </c>
      <c r="E1696">
        <f>6+1</f>
        <v>7</v>
      </c>
      <c r="F1696">
        <f>2-1+0</f>
        <v>1</v>
      </c>
      <c r="G1696">
        <v>0</v>
      </c>
    </row>
    <row r="1697" spans="1:7" x14ac:dyDescent="0.25">
      <c r="A1697" s="3" t="s">
        <v>113</v>
      </c>
      <c r="B1697" s="3" t="s">
        <v>5</v>
      </c>
      <c r="C1697" s="3">
        <v>6</v>
      </c>
      <c r="D1697" s="3">
        <v>6</v>
      </c>
      <c r="E1697" s="3">
        <v>6</v>
      </c>
      <c r="F1697" s="3">
        <v>0</v>
      </c>
      <c r="G1697" s="3">
        <v>0</v>
      </c>
    </row>
    <row r="1698" spans="1:7" x14ac:dyDescent="0.25">
      <c r="A1698" t="s">
        <v>113</v>
      </c>
      <c r="B1698" t="s">
        <v>185</v>
      </c>
      <c r="C1698">
        <f>19+1</f>
        <v>20</v>
      </c>
      <c r="D1698">
        <v>18</v>
      </c>
      <c r="E1698">
        <f>12+3</f>
        <v>15</v>
      </c>
      <c r="F1698">
        <f>6-5+2</f>
        <v>3</v>
      </c>
      <c r="G1698">
        <v>0</v>
      </c>
    </row>
    <row r="1699" spans="1:7" x14ac:dyDescent="0.25">
      <c r="A1699" s="3" t="s">
        <v>113</v>
      </c>
      <c r="B1699" s="3" t="s">
        <v>185</v>
      </c>
      <c r="C1699" s="3">
        <v>13</v>
      </c>
      <c r="D1699" s="3">
        <v>12</v>
      </c>
      <c r="E1699" s="3">
        <v>12</v>
      </c>
      <c r="F1699" s="3">
        <v>0</v>
      </c>
      <c r="G1699" s="3">
        <v>0</v>
      </c>
    </row>
    <row r="1700" spans="1:7" x14ac:dyDescent="0.25">
      <c r="A1700" t="s">
        <v>113</v>
      </c>
      <c r="B1700" t="s">
        <v>186</v>
      </c>
      <c r="C1700">
        <v>29</v>
      </c>
      <c r="D1700">
        <v>27</v>
      </c>
      <c r="E1700">
        <f>19+1</f>
        <v>20</v>
      </c>
      <c r="F1700">
        <f>8-7+6</f>
        <v>7</v>
      </c>
      <c r="G1700">
        <v>0</v>
      </c>
    </row>
    <row r="1701" spans="1:7" x14ac:dyDescent="0.25">
      <c r="A1701" s="3" t="s">
        <v>113</v>
      </c>
      <c r="B1701" s="3" t="s">
        <v>186</v>
      </c>
      <c r="C1701" s="3">
        <v>25</v>
      </c>
      <c r="D1701" s="3">
        <v>22</v>
      </c>
      <c r="E1701" s="3">
        <v>18</v>
      </c>
      <c r="F1701" s="3">
        <v>4</v>
      </c>
      <c r="G1701" s="3">
        <v>0</v>
      </c>
    </row>
    <row r="1702" spans="1:7" x14ac:dyDescent="0.25">
      <c r="A1702" t="s">
        <v>113</v>
      </c>
      <c r="B1702" t="s">
        <v>187</v>
      </c>
      <c r="C1702">
        <f>40+1</f>
        <v>41</v>
      </c>
      <c r="D1702">
        <f>36+1</f>
        <v>37</v>
      </c>
      <c r="E1702">
        <v>31</v>
      </c>
      <c r="F1702">
        <f>5+1</f>
        <v>6</v>
      </c>
      <c r="G1702">
        <v>0</v>
      </c>
    </row>
    <row r="1703" spans="1:7" x14ac:dyDescent="0.25">
      <c r="A1703" s="3" t="s">
        <v>113</v>
      </c>
      <c r="B1703" s="3" t="s">
        <v>187</v>
      </c>
      <c r="C1703" s="3">
        <v>15</v>
      </c>
      <c r="D1703" s="3">
        <v>13</v>
      </c>
      <c r="E1703" s="3">
        <f>11+2</f>
        <v>13</v>
      </c>
      <c r="F1703" s="3">
        <f>2-2+0</f>
        <v>0</v>
      </c>
      <c r="G1703" s="3">
        <v>0</v>
      </c>
    </row>
    <row r="1704" spans="1:7" x14ac:dyDescent="0.25">
      <c r="A1704" t="s">
        <v>113</v>
      </c>
      <c r="B1704" t="s">
        <v>6</v>
      </c>
      <c r="C1704">
        <v>9</v>
      </c>
      <c r="D1704">
        <v>8</v>
      </c>
      <c r="E1704">
        <v>8</v>
      </c>
      <c r="F1704">
        <v>0</v>
      </c>
      <c r="G1704">
        <v>0</v>
      </c>
    </row>
    <row r="1705" spans="1:7" x14ac:dyDescent="0.25">
      <c r="A1705" s="3" t="s">
        <v>113</v>
      </c>
      <c r="B1705" s="3" t="s">
        <v>6</v>
      </c>
      <c r="C1705" s="3">
        <v>9</v>
      </c>
      <c r="D1705" s="3">
        <v>5</v>
      </c>
      <c r="E1705" s="3">
        <v>5</v>
      </c>
      <c r="F1705" s="3">
        <v>0</v>
      </c>
      <c r="G1705" s="3">
        <v>0</v>
      </c>
    </row>
    <row r="1706" spans="1:7" x14ac:dyDescent="0.25">
      <c r="A1706" t="s">
        <v>113</v>
      </c>
      <c r="B1706" t="s">
        <v>8</v>
      </c>
      <c r="C1706">
        <v>2</v>
      </c>
      <c r="D1706">
        <v>0</v>
      </c>
      <c r="E1706">
        <v>0</v>
      </c>
      <c r="F1706">
        <v>0</v>
      </c>
      <c r="G1706">
        <v>0</v>
      </c>
    </row>
    <row r="1707" spans="1:7" x14ac:dyDescent="0.25">
      <c r="A1707" t="s">
        <v>113</v>
      </c>
      <c r="B1707" t="s">
        <v>9</v>
      </c>
      <c r="C1707">
        <v>1</v>
      </c>
      <c r="D1707">
        <v>0</v>
      </c>
      <c r="E1707">
        <v>0</v>
      </c>
      <c r="F1707">
        <v>0</v>
      </c>
      <c r="G1707">
        <v>0</v>
      </c>
    </row>
    <row r="1708" spans="1:7" x14ac:dyDescent="0.25">
      <c r="A1708" t="s">
        <v>113</v>
      </c>
      <c r="B1708" t="s">
        <v>10</v>
      </c>
      <c r="C1708">
        <v>43</v>
      </c>
      <c r="D1708">
        <v>40</v>
      </c>
      <c r="E1708">
        <v>37</v>
      </c>
      <c r="F1708">
        <v>3</v>
      </c>
      <c r="G1708">
        <v>0</v>
      </c>
    </row>
    <row r="1709" spans="1:7" x14ac:dyDescent="0.25">
      <c r="A1709" s="3" t="s">
        <v>113</v>
      </c>
      <c r="B1709" s="3" t="s">
        <v>10</v>
      </c>
      <c r="C1709" s="3">
        <v>17</v>
      </c>
      <c r="D1709" s="3">
        <v>16</v>
      </c>
      <c r="E1709" s="3">
        <v>13</v>
      </c>
      <c r="F1709" s="3">
        <v>3</v>
      </c>
      <c r="G1709" s="3">
        <v>0</v>
      </c>
    </row>
    <row r="1710" spans="1:7" x14ac:dyDescent="0.25">
      <c r="A1710" s="3" t="s">
        <v>113</v>
      </c>
      <c r="B1710" s="3" t="s">
        <v>177</v>
      </c>
      <c r="C1710" s="3">
        <v>1</v>
      </c>
      <c r="D1710" s="3">
        <v>0</v>
      </c>
      <c r="E1710" s="3">
        <v>0</v>
      </c>
      <c r="F1710" s="3">
        <v>0</v>
      </c>
      <c r="G1710" s="3">
        <v>0</v>
      </c>
    </row>
    <row r="1711" spans="1:7" x14ac:dyDescent="0.25">
      <c r="A1711" t="s">
        <v>160</v>
      </c>
      <c r="B1711" t="s">
        <v>2</v>
      </c>
      <c r="C1711">
        <v>1</v>
      </c>
      <c r="D1711">
        <v>1</v>
      </c>
      <c r="E1711">
        <v>1</v>
      </c>
      <c r="F1711">
        <v>0</v>
      </c>
      <c r="G1711">
        <v>0</v>
      </c>
    </row>
    <row r="1712" spans="1:7" x14ac:dyDescent="0.25">
      <c r="A1712" s="3" t="s">
        <v>160</v>
      </c>
      <c r="B1712" s="3" t="s">
        <v>188</v>
      </c>
      <c r="C1712" s="3">
        <v>1</v>
      </c>
      <c r="D1712" s="3">
        <v>0</v>
      </c>
      <c r="E1712" s="3">
        <v>0</v>
      </c>
      <c r="F1712" s="3">
        <v>0</v>
      </c>
      <c r="G1712" s="3">
        <v>0</v>
      </c>
    </row>
    <row r="1713" spans="1:7" x14ac:dyDescent="0.25">
      <c r="A1713" t="s">
        <v>160</v>
      </c>
      <c r="B1713" t="s">
        <v>5</v>
      </c>
      <c r="C1713">
        <v>2</v>
      </c>
      <c r="D1713">
        <v>2</v>
      </c>
      <c r="E1713">
        <v>2</v>
      </c>
      <c r="F1713">
        <v>0</v>
      </c>
      <c r="G1713">
        <v>0</v>
      </c>
    </row>
    <row r="1714" spans="1:7" x14ac:dyDescent="0.25">
      <c r="A1714" s="3" t="s">
        <v>160</v>
      </c>
      <c r="B1714" s="3" t="s">
        <v>5</v>
      </c>
      <c r="C1714" s="3">
        <v>6</v>
      </c>
      <c r="D1714" s="3">
        <v>6</v>
      </c>
      <c r="E1714" s="3">
        <v>5</v>
      </c>
      <c r="F1714" s="3">
        <v>1</v>
      </c>
      <c r="G1714" s="3">
        <v>0</v>
      </c>
    </row>
    <row r="1715" spans="1:7" x14ac:dyDescent="0.25">
      <c r="A1715" t="s">
        <v>160</v>
      </c>
      <c r="B1715" t="s">
        <v>185</v>
      </c>
      <c r="C1715">
        <f>16+3</f>
        <v>19</v>
      </c>
      <c r="D1715">
        <f>15+3</f>
        <v>18</v>
      </c>
      <c r="E1715">
        <f>12+3</f>
        <v>15</v>
      </c>
      <c r="F1715">
        <v>3</v>
      </c>
      <c r="G1715">
        <v>0</v>
      </c>
    </row>
    <row r="1716" spans="1:7" x14ac:dyDescent="0.25">
      <c r="A1716" s="3" t="s">
        <v>160</v>
      </c>
      <c r="B1716" s="3" t="s">
        <v>185</v>
      </c>
      <c r="C1716" s="3">
        <v>18</v>
      </c>
      <c r="D1716" s="3">
        <v>17</v>
      </c>
      <c r="E1716" s="3">
        <f>13+4</f>
        <v>17</v>
      </c>
      <c r="F1716" s="3">
        <f>4-4+0</f>
        <v>0</v>
      </c>
      <c r="G1716" s="3">
        <v>0</v>
      </c>
    </row>
    <row r="1717" spans="1:7" x14ac:dyDescent="0.25">
      <c r="A1717" t="s">
        <v>160</v>
      </c>
      <c r="B1717" t="s">
        <v>186</v>
      </c>
      <c r="C1717">
        <v>19</v>
      </c>
      <c r="D1717">
        <v>18</v>
      </c>
      <c r="E1717">
        <v>15</v>
      </c>
      <c r="F1717">
        <v>3</v>
      </c>
      <c r="G1717">
        <v>0</v>
      </c>
    </row>
    <row r="1718" spans="1:7" x14ac:dyDescent="0.25">
      <c r="A1718" s="3" t="s">
        <v>160</v>
      </c>
      <c r="B1718" s="3" t="s">
        <v>186</v>
      </c>
      <c r="C1718" s="3">
        <v>26</v>
      </c>
      <c r="D1718" s="3">
        <v>24</v>
      </c>
      <c r="E1718" s="3">
        <f>20+1</f>
        <v>21</v>
      </c>
      <c r="F1718" s="3">
        <f>4-1+0</f>
        <v>3</v>
      </c>
      <c r="G1718" s="3">
        <v>0</v>
      </c>
    </row>
    <row r="1719" spans="1:7" x14ac:dyDescent="0.25">
      <c r="A1719" t="s">
        <v>160</v>
      </c>
      <c r="B1719" t="s">
        <v>187</v>
      </c>
      <c r="C1719">
        <f>56+2</f>
        <v>58</v>
      </c>
      <c r="D1719">
        <f>56+2</f>
        <v>58</v>
      </c>
      <c r="E1719">
        <f>54+2</f>
        <v>56</v>
      </c>
      <c r="F1719">
        <v>2</v>
      </c>
      <c r="G1719">
        <v>0</v>
      </c>
    </row>
    <row r="1720" spans="1:7" x14ac:dyDescent="0.25">
      <c r="A1720" s="3" t="s">
        <v>160</v>
      </c>
      <c r="B1720" s="3" t="s">
        <v>187</v>
      </c>
      <c r="C1720" s="3">
        <v>39</v>
      </c>
      <c r="D1720" s="3">
        <v>39</v>
      </c>
      <c r="E1720" s="3">
        <f>29+3</f>
        <v>32</v>
      </c>
      <c r="F1720" s="3">
        <f>10-4+1</f>
        <v>7</v>
      </c>
      <c r="G1720" s="3">
        <v>0</v>
      </c>
    </row>
    <row r="1721" spans="1:7" x14ac:dyDescent="0.25">
      <c r="A1721" t="s">
        <v>160</v>
      </c>
      <c r="B1721" t="s">
        <v>6</v>
      </c>
      <c r="C1721">
        <v>7</v>
      </c>
      <c r="D1721">
        <v>6</v>
      </c>
      <c r="E1721">
        <v>6</v>
      </c>
      <c r="F1721">
        <v>0</v>
      </c>
      <c r="G1721">
        <v>0</v>
      </c>
    </row>
    <row r="1722" spans="1:7" x14ac:dyDescent="0.25">
      <c r="A1722" s="3" t="s">
        <v>160</v>
      </c>
      <c r="B1722" s="3" t="s">
        <v>6</v>
      </c>
      <c r="C1722" s="3">
        <v>2</v>
      </c>
      <c r="D1722" s="3">
        <v>2</v>
      </c>
      <c r="E1722" s="3">
        <v>2</v>
      </c>
      <c r="F1722" s="3">
        <v>0</v>
      </c>
      <c r="G1722" s="3">
        <v>0</v>
      </c>
    </row>
    <row r="1723" spans="1:7" x14ac:dyDescent="0.25">
      <c r="A1723" s="3" t="s">
        <v>160</v>
      </c>
      <c r="B1723" s="3" t="s">
        <v>7</v>
      </c>
      <c r="C1723" s="3">
        <v>8</v>
      </c>
      <c r="D1723" s="3">
        <v>7</v>
      </c>
      <c r="E1723" s="3">
        <v>6</v>
      </c>
      <c r="F1723" s="3">
        <v>1</v>
      </c>
      <c r="G1723" s="3">
        <v>0</v>
      </c>
    </row>
    <row r="1724" spans="1:7" x14ac:dyDescent="0.25">
      <c r="A1724" t="s">
        <v>160</v>
      </c>
      <c r="B1724" t="s">
        <v>8</v>
      </c>
      <c r="C1724">
        <v>9</v>
      </c>
      <c r="D1724">
        <v>9</v>
      </c>
      <c r="E1724">
        <v>9</v>
      </c>
      <c r="F1724">
        <v>0</v>
      </c>
      <c r="G1724">
        <v>0</v>
      </c>
    </row>
    <row r="1725" spans="1:7" x14ac:dyDescent="0.25">
      <c r="A1725" s="3" t="s">
        <v>160</v>
      </c>
      <c r="B1725" s="3" t="s">
        <v>8</v>
      </c>
      <c r="C1725" s="3">
        <v>19</v>
      </c>
      <c r="D1725" s="3">
        <v>19</v>
      </c>
      <c r="E1725" s="3">
        <v>19</v>
      </c>
      <c r="F1725" s="3">
        <v>0</v>
      </c>
      <c r="G1725" s="3">
        <v>0</v>
      </c>
    </row>
    <row r="1726" spans="1:7" x14ac:dyDescent="0.25">
      <c r="A1726" t="s">
        <v>160</v>
      </c>
      <c r="B1726" t="s">
        <v>9</v>
      </c>
      <c r="C1726">
        <v>1</v>
      </c>
      <c r="D1726">
        <v>1</v>
      </c>
      <c r="E1726">
        <v>1</v>
      </c>
      <c r="F1726">
        <v>0</v>
      </c>
      <c r="G1726">
        <v>0</v>
      </c>
    </row>
    <row r="1727" spans="1:7" x14ac:dyDescent="0.25">
      <c r="A1727" s="3" t="s">
        <v>160</v>
      </c>
      <c r="B1727" s="3" t="s">
        <v>9</v>
      </c>
      <c r="C1727" s="3">
        <v>2</v>
      </c>
      <c r="D1727" s="3">
        <v>2</v>
      </c>
      <c r="E1727" s="3">
        <v>2</v>
      </c>
      <c r="F1727" s="3">
        <v>0</v>
      </c>
      <c r="G1727" s="3">
        <v>0</v>
      </c>
    </row>
    <row r="1728" spans="1:7" x14ac:dyDescent="0.25">
      <c r="A1728" t="s">
        <v>160</v>
      </c>
      <c r="B1728" t="s">
        <v>10</v>
      </c>
      <c r="C1728">
        <v>42</v>
      </c>
      <c r="D1728">
        <v>42</v>
      </c>
      <c r="E1728">
        <v>42</v>
      </c>
      <c r="F1728">
        <v>0</v>
      </c>
      <c r="G1728">
        <v>0</v>
      </c>
    </row>
    <row r="1729" spans="1:7" x14ac:dyDescent="0.25">
      <c r="A1729" s="3" t="s">
        <v>160</v>
      </c>
      <c r="B1729" s="3" t="s">
        <v>10</v>
      </c>
      <c r="C1729" s="3">
        <v>30</v>
      </c>
      <c r="D1729" s="3">
        <v>30</v>
      </c>
      <c r="E1729" s="3">
        <v>30</v>
      </c>
      <c r="F1729" s="3">
        <v>0</v>
      </c>
      <c r="G1729" s="3">
        <v>0</v>
      </c>
    </row>
    <row r="1730" spans="1:7" x14ac:dyDescent="0.25">
      <c r="A1730" s="3" t="s">
        <v>160</v>
      </c>
      <c r="B1730" s="3" t="s">
        <v>177</v>
      </c>
      <c r="C1730" s="3">
        <v>7</v>
      </c>
      <c r="D1730" s="3">
        <v>7</v>
      </c>
      <c r="E1730" s="3">
        <v>7</v>
      </c>
      <c r="F1730" s="3">
        <v>0</v>
      </c>
      <c r="G1730" s="3">
        <v>0</v>
      </c>
    </row>
    <row r="1731" spans="1:7" x14ac:dyDescent="0.25">
      <c r="A1731" t="s">
        <v>36</v>
      </c>
      <c r="B1731" t="s">
        <v>2</v>
      </c>
      <c r="C1731">
        <v>5</v>
      </c>
      <c r="D1731">
        <v>4</v>
      </c>
      <c r="E1731">
        <v>3</v>
      </c>
      <c r="F1731">
        <v>1</v>
      </c>
      <c r="G1731">
        <v>0</v>
      </c>
    </row>
    <row r="1732" spans="1:7" x14ac:dyDescent="0.25">
      <c r="A1732" s="3" t="s">
        <v>36</v>
      </c>
      <c r="B1732" s="3" t="s">
        <v>2</v>
      </c>
      <c r="C1732" s="3">
        <v>2</v>
      </c>
      <c r="D1732" s="3">
        <v>1</v>
      </c>
      <c r="E1732" s="3">
        <v>1</v>
      </c>
      <c r="F1732" s="3">
        <v>0</v>
      </c>
      <c r="G1732" s="3">
        <v>0</v>
      </c>
    </row>
    <row r="1733" spans="1:7" x14ac:dyDescent="0.25">
      <c r="A1733" t="s">
        <v>36</v>
      </c>
      <c r="B1733" t="s">
        <v>5</v>
      </c>
      <c r="C1733">
        <v>1</v>
      </c>
      <c r="D1733">
        <v>1</v>
      </c>
      <c r="E1733">
        <v>1</v>
      </c>
      <c r="F1733">
        <v>0</v>
      </c>
      <c r="G1733">
        <v>0</v>
      </c>
    </row>
    <row r="1734" spans="1:7" x14ac:dyDescent="0.25">
      <c r="A1734" s="3" t="s">
        <v>36</v>
      </c>
      <c r="B1734" s="3" t="s">
        <v>5</v>
      </c>
      <c r="C1734" s="3">
        <v>4</v>
      </c>
      <c r="D1734" s="3">
        <v>4</v>
      </c>
      <c r="E1734" s="3">
        <v>4</v>
      </c>
      <c r="F1734" s="3">
        <v>0</v>
      </c>
      <c r="G1734" s="3">
        <v>0</v>
      </c>
    </row>
    <row r="1735" spans="1:7" x14ac:dyDescent="0.25">
      <c r="A1735" t="s">
        <v>36</v>
      </c>
      <c r="B1735" t="s">
        <v>185</v>
      </c>
      <c r="C1735">
        <v>8</v>
      </c>
      <c r="D1735">
        <v>8</v>
      </c>
      <c r="E1735">
        <v>8</v>
      </c>
      <c r="F1735">
        <v>0</v>
      </c>
      <c r="G1735">
        <v>0</v>
      </c>
    </row>
    <row r="1736" spans="1:7" x14ac:dyDescent="0.25">
      <c r="A1736" s="3" t="s">
        <v>36</v>
      </c>
      <c r="B1736" s="3" t="s">
        <v>185</v>
      </c>
      <c r="C1736" s="3">
        <v>15</v>
      </c>
      <c r="D1736" s="3">
        <v>14</v>
      </c>
      <c r="E1736" s="3">
        <v>12</v>
      </c>
      <c r="F1736" s="3">
        <v>2</v>
      </c>
      <c r="G1736" s="3">
        <v>0</v>
      </c>
    </row>
    <row r="1737" spans="1:7" x14ac:dyDescent="0.25">
      <c r="A1737" t="s">
        <v>36</v>
      </c>
      <c r="B1737" t="s">
        <v>186</v>
      </c>
      <c r="C1737">
        <v>7</v>
      </c>
      <c r="D1737">
        <v>6</v>
      </c>
      <c r="E1737">
        <v>5</v>
      </c>
      <c r="F1737">
        <v>1</v>
      </c>
      <c r="G1737">
        <v>0</v>
      </c>
    </row>
    <row r="1738" spans="1:7" x14ac:dyDescent="0.25">
      <c r="A1738" s="3" t="s">
        <v>36</v>
      </c>
      <c r="B1738" s="3" t="s">
        <v>186</v>
      </c>
      <c r="C1738" s="3">
        <v>16</v>
      </c>
      <c r="D1738" s="3">
        <v>16</v>
      </c>
      <c r="E1738" s="3">
        <v>16</v>
      </c>
      <c r="F1738" s="3">
        <v>0</v>
      </c>
      <c r="G1738" s="3">
        <v>0</v>
      </c>
    </row>
    <row r="1739" spans="1:7" x14ac:dyDescent="0.25">
      <c r="A1739" t="s">
        <v>36</v>
      </c>
      <c r="B1739" t="s">
        <v>187</v>
      </c>
      <c r="C1739">
        <v>52</v>
      </c>
      <c r="D1739">
        <v>51</v>
      </c>
      <c r="E1739">
        <v>46</v>
      </c>
      <c r="F1739">
        <v>5</v>
      </c>
      <c r="G1739">
        <v>0</v>
      </c>
    </row>
    <row r="1740" spans="1:7" x14ac:dyDescent="0.25">
      <c r="A1740" s="3" t="s">
        <v>36</v>
      </c>
      <c r="B1740" s="3" t="s">
        <v>187</v>
      </c>
      <c r="C1740" s="3">
        <v>52</v>
      </c>
      <c r="D1740" s="3">
        <v>52</v>
      </c>
      <c r="E1740" s="3">
        <v>48</v>
      </c>
      <c r="F1740" s="3">
        <v>4</v>
      </c>
      <c r="G1740" s="3">
        <v>0</v>
      </c>
    </row>
    <row r="1741" spans="1:7" x14ac:dyDescent="0.25">
      <c r="A1741" t="s">
        <v>36</v>
      </c>
      <c r="B1741" t="s">
        <v>6</v>
      </c>
      <c r="C1741">
        <v>20</v>
      </c>
      <c r="D1741">
        <v>20</v>
      </c>
      <c r="E1741">
        <v>20</v>
      </c>
      <c r="F1741">
        <v>0</v>
      </c>
      <c r="G1741">
        <v>0</v>
      </c>
    </row>
    <row r="1742" spans="1:7" x14ac:dyDescent="0.25">
      <c r="A1742" s="3" t="s">
        <v>36</v>
      </c>
      <c r="B1742" s="3" t="s">
        <v>6</v>
      </c>
      <c r="C1742" s="3">
        <v>9</v>
      </c>
      <c r="D1742" s="3">
        <v>9</v>
      </c>
      <c r="E1742" s="3">
        <v>9</v>
      </c>
      <c r="F1742" s="3">
        <v>0</v>
      </c>
      <c r="G1742" s="3">
        <v>0</v>
      </c>
    </row>
    <row r="1743" spans="1:7" x14ac:dyDescent="0.25">
      <c r="A1743" t="s">
        <v>36</v>
      </c>
      <c r="B1743" t="s">
        <v>8</v>
      </c>
      <c r="C1743">
        <v>1</v>
      </c>
      <c r="D1743">
        <v>1</v>
      </c>
      <c r="E1743">
        <v>1</v>
      </c>
      <c r="F1743">
        <v>0</v>
      </c>
      <c r="G1743">
        <v>0</v>
      </c>
    </row>
    <row r="1744" spans="1:7" x14ac:dyDescent="0.25">
      <c r="A1744" s="3" t="s">
        <v>36</v>
      </c>
      <c r="B1744" s="3" t="s">
        <v>8</v>
      </c>
      <c r="C1744" s="3">
        <v>1</v>
      </c>
      <c r="D1744" s="3">
        <v>1</v>
      </c>
      <c r="E1744" s="3">
        <v>1</v>
      </c>
      <c r="F1744" s="3">
        <v>0</v>
      </c>
      <c r="G1744" s="3">
        <v>0</v>
      </c>
    </row>
    <row r="1745" spans="1:7" x14ac:dyDescent="0.25">
      <c r="A1745" s="3" t="s">
        <v>36</v>
      </c>
      <c r="B1745" s="3" t="s">
        <v>9</v>
      </c>
      <c r="C1745" s="3">
        <v>1</v>
      </c>
      <c r="D1745" s="3">
        <v>1</v>
      </c>
      <c r="E1745" s="3">
        <v>1</v>
      </c>
      <c r="F1745" s="3">
        <v>0</v>
      </c>
      <c r="G1745" s="3">
        <v>0</v>
      </c>
    </row>
    <row r="1746" spans="1:7" x14ac:dyDescent="0.25">
      <c r="A1746" t="s">
        <v>36</v>
      </c>
      <c r="B1746" t="s">
        <v>10</v>
      </c>
      <c r="C1746">
        <v>24</v>
      </c>
      <c r="D1746">
        <v>24</v>
      </c>
      <c r="E1746">
        <v>20</v>
      </c>
      <c r="F1746">
        <v>4</v>
      </c>
      <c r="G1746">
        <v>0</v>
      </c>
    </row>
    <row r="1747" spans="1:7" x14ac:dyDescent="0.25">
      <c r="A1747" s="3" t="s">
        <v>36</v>
      </c>
      <c r="B1747" s="3" t="s">
        <v>10</v>
      </c>
      <c r="C1747" s="3">
        <v>13</v>
      </c>
      <c r="D1747" s="3">
        <v>13</v>
      </c>
      <c r="E1747" s="3">
        <v>12</v>
      </c>
      <c r="F1747" s="3">
        <v>1</v>
      </c>
      <c r="G1747" s="3">
        <v>0</v>
      </c>
    </row>
    <row r="1748" spans="1:7" x14ac:dyDescent="0.25">
      <c r="A1748" t="s">
        <v>164</v>
      </c>
      <c r="B1748" t="s">
        <v>2</v>
      </c>
      <c r="C1748">
        <v>3</v>
      </c>
      <c r="D1748">
        <v>3</v>
      </c>
      <c r="E1748">
        <v>2</v>
      </c>
      <c r="F1748">
        <v>1</v>
      </c>
      <c r="G1748">
        <v>0</v>
      </c>
    </row>
    <row r="1749" spans="1:7" x14ac:dyDescent="0.25">
      <c r="A1749" s="3" t="s">
        <v>164</v>
      </c>
      <c r="B1749" s="3" t="s">
        <v>2</v>
      </c>
      <c r="C1749" s="3">
        <v>4</v>
      </c>
      <c r="D1749" s="3">
        <v>3</v>
      </c>
      <c r="E1749" s="3">
        <v>3</v>
      </c>
      <c r="F1749" s="3">
        <v>0</v>
      </c>
      <c r="G1749" s="3">
        <v>0</v>
      </c>
    </row>
    <row r="1750" spans="1:7" x14ac:dyDescent="0.25">
      <c r="A1750" t="s">
        <v>164</v>
      </c>
      <c r="B1750" t="s">
        <v>5</v>
      </c>
      <c r="C1750">
        <v>12</v>
      </c>
      <c r="D1750">
        <v>12</v>
      </c>
      <c r="E1750">
        <v>10</v>
      </c>
      <c r="F1750">
        <v>2</v>
      </c>
      <c r="G1750">
        <v>0</v>
      </c>
    </row>
    <row r="1751" spans="1:7" x14ac:dyDescent="0.25">
      <c r="A1751" s="3" t="s">
        <v>164</v>
      </c>
      <c r="B1751" s="3" t="s">
        <v>5</v>
      </c>
      <c r="C1751" s="3">
        <v>9</v>
      </c>
      <c r="D1751" s="3">
        <v>9</v>
      </c>
      <c r="E1751" s="3">
        <f>6+2</f>
        <v>8</v>
      </c>
      <c r="F1751" s="3">
        <f>3-3+1</f>
        <v>1</v>
      </c>
      <c r="G1751" s="3">
        <v>0</v>
      </c>
    </row>
    <row r="1752" spans="1:7" x14ac:dyDescent="0.25">
      <c r="A1752" t="s">
        <v>164</v>
      </c>
      <c r="B1752" t="s">
        <v>185</v>
      </c>
      <c r="C1752">
        <f>23+3</f>
        <v>26</v>
      </c>
      <c r="D1752">
        <f>23+3</f>
        <v>26</v>
      </c>
      <c r="E1752">
        <f>23+2</f>
        <v>25</v>
      </c>
      <c r="F1752">
        <f>3-3+1</f>
        <v>1</v>
      </c>
      <c r="G1752">
        <v>0</v>
      </c>
    </row>
    <row r="1753" spans="1:7" x14ac:dyDescent="0.25">
      <c r="A1753" s="3" t="s">
        <v>164</v>
      </c>
      <c r="B1753" s="3" t="s">
        <v>185</v>
      </c>
      <c r="C1753" s="3">
        <v>7</v>
      </c>
      <c r="D1753" s="3">
        <v>7</v>
      </c>
      <c r="E1753" s="3">
        <v>6</v>
      </c>
      <c r="F1753" s="3">
        <v>1</v>
      </c>
      <c r="G1753" s="3">
        <v>0</v>
      </c>
    </row>
    <row r="1754" spans="1:7" x14ac:dyDescent="0.25">
      <c r="A1754" t="s">
        <v>164</v>
      </c>
      <c r="B1754" t="s">
        <v>186</v>
      </c>
      <c r="C1754">
        <f>35+2</f>
        <v>37</v>
      </c>
      <c r="D1754">
        <f>35+2</f>
        <v>37</v>
      </c>
      <c r="E1754">
        <f>32+4</f>
        <v>36</v>
      </c>
      <c r="F1754">
        <f>5-5+1</f>
        <v>1</v>
      </c>
      <c r="G1754">
        <v>0</v>
      </c>
    </row>
    <row r="1755" spans="1:7" x14ac:dyDescent="0.25">
      <c r="A1755" s="3" t="s">
        <v>164</v>
      </c>
      <c r="B1755" s="3" t="s">
        <v>186</v>
      </c>
      <c r="C1755" s="3">
        <v>17</v>
      </c>
      <c r="D1755" s="3">
        <v>17</v>
      </c>
      <c r="E1755" s="3">
        <v>13</v>
      </c>
      <c r="F1755" s="3">
        <v>4</v>
      </c>
      <c r="G1755" s="3">
        <v>0</v>
      </c>
    </row>
    <row r="1756" spans="1:7" x14ac:dyDescent="0.25">
      <c r="A1756" t="s">
        <v>164</v>
      </c>
      <c r="B1756" t="s">
        <v>187</v>
      </c>
      <c r="C1756">
        <v>46</v>
      </c>
      <c r="D1756">
        <v>46</v>
      </c>
      <c r="E1756">
        <f>39+3</f>
        <v>42</v>
      </c>
      <c r="F1756">
        <f>7-3+0</f>
        <v>4</v>
      </c>
      <c r="G1756">
        <v>0</v>
      </c>
    </row>
    <row r="1757" spans="1:7" x14ac:dyDescent="0.25">
      <c r="A1757" s="3" t="s">
        <v>164</v>
      </c>
      <c r="B1757" s="3" t="s">
        <v>187</v>
      </c>
      <c r="C1757" s="3">
        <v>23</v>
      </c>
      <c r="D1757" s="3">
        <v>22</v>
      </c>
      <c r="E1757" s="3">
        <v>21</v>
      </c>
      <c r="F1757" s="3">
        <v>1</v>
      </c>
      <c r="G1757" s="3">
        <v>0</v>
      </c>
    </row>
    <row r="1758" spans="1:7" x14ac:dyDescent="0.25">
      <c r="A1758" t="s">
        <v>164</v>
      </c>
      <c r="B1758" t="s">
        <v>6</v>
      </c>
      <c r="C1758">
        <v>10</v>
      </c>
      <c r="D1758">
        <v>10</v>
      </c>
      <c r="E1758">
        <v>10</v>
      </c>
      <c r="F1758">
        <v>0</v>
      </c>
      <c r="G1758">
        <v>0</v>
      </c>
    </row>
    <row r="1759" spans="1:7" x14ac:dyDescent="0.25">
      <c r="A1759" s="3" t="s">
        <v>164</v>
      </c>
      <c r="B1759" s="3" t="s">
        <v>6</v>
      </c>
      <c r="C1759" s="3">
        <v>3</v>
      </c>
      <c r="D1759" s="3">
        <v>3</v>
      </c>
      <c r="E1759" s="3">
        <v>3</v>
      </c>
      <c r="F1759" s="3">
        <v>0</v>
      </c>
      <c r="G1759" s="3">
        <v>0</v>
      </c>
    </row>
    <row r="1760" spans="1:7" x14ac:dyDescent="0.25">
      <c r="A1760" t="s">
        <v>164</v>
      </c>
      <c r="B1760" t="s">
        <v>8</v>
      </c>
      <c r="C1760">
        <v>10</v>
      </c>
      <c r="D1760">
        <v>10</v>
      </c>
      <c r="E1760">
        <v>10</v>
      </c>
      <c r="F1760">
        <v>0</v>
      </c>
      <c r="G1760">
        <v>0</v>
      </c>
    </row>
    <row r="1761" spans="1:7" x14ac:dyDescent="0.25">
      <c r="A1761" s="3" t="s">
        <v>164</v>
      </c>
      <c r="B1761" s="3" t="s">
        <v>8</v>
      </c>
      <c r="C1761" s="3">
        <v>14</v>
      </c>
      <c r="D1761" s="3">
        <v>13</v>
      </c>
      <c r="E1761" s="3">
        <v>9</v>
      </c>
      <c r="F1761" s="3">
        <v>4</v>
      </c>
      <c r="G1761" s="3">
        <v>0</v>
      </c>
    </row>
    <row r="1762" spans="1:7" x14ac:dyDescent="0.25">
      <c r="A1762" t="s">
        <v>164</v>
      </c>
      <c r="B1762" t="s">
        <v>9</v>
      </c>
      <c r="C1762">
        <v>13</v>
      </c>
      <c r="D1762">
        <v>13</v>
      </c>
      <c r="E1762">
        <v>11</v>
      </c>
      <c r="F1762">
        <v>2</v>
      </c>
      <c r="G1762">
        <v>0</v>
      </c>
    </row>
    <row r="1763" spans="1:7" x14ac:dyDescent="0.25">
      <c r="A1763" s="3" t="s">
        <v>164</v>
      </c>
      <c r="B1763" s="3" t="s">
        <v>9</v>
      </c>
      <c r="C1763" s="3">
        <v>11</v>
      </c>
      <c r="D1763" s="3">
        <v>11</v>
      </c>
      <c r="E1763" s="3">
        <v>8</v>
      </c>
      <c r="F1763" s="3">
        <v>3</v>
      </c>
      <c r="G1763" s="3">
        <v>0</v>
      </c>
    </row>
    <row r="1764" spans="1:7" x14ac:dyDescent="0.25">
      <c r="A1764" t="s">
        <v>164</v>
      </c>
      <c r="B1764" t="s">
        <v>10</v>
      </c>
      <c r="C1764">
        <v>38</v>
      </c>
      <c r="D1764">
        <v>38</v>
      </c>
      <c r="E1764">
        <v>35</v>
      </c>
      <c r="F1764">
        <v>3</v>
      </c>
      <c r="G1764">
        <v>0</v>
      </c>
    </row>
    <row r="1765" spans="1:7" x14ac:dyDescent="0.25">
      <c r="A1765" s="3" t="s">
        <v>164</v>
      </c>
      <c r="B1765" s="3" t="s">
        <v>10</v>
      </c>
      <c r="C1765" s="3">
        <v>17</v>
      </c>
      <c r="D1765" s="3">
        <v>17</v>
      </c>
      <c r="E1765" s="3">
        <v>16</v>
      </c>
      <c r="F1765" s="3">
        <v>1</v>
      </c>
      <c r="G1765" s="3">
        <v>0</v>
      </c>
    </row>
    <row r="1766" spans="1:7" x14ac:dyDescent="0.25">
      <c r="A1766" t="s">
        <v>164</v>
      </c>
      <c r="B1766" t="s">
        <v>177</v>
      </c>
      <c r="C1766">
        <v>5</v>
      </c>
      <c r="D1766">
        <v>5</v>
      </c>
      <c r="E1766">
        <v>3</v>
      </c>
      <c r="F1766">
        <v>2</v>
      </c>
      <c r="G1766">
        <v>0</v>
      </c>
    </row>
    <row r="1767" spans="1:7" x14ac:dyDescent="0.25">
      <c r="A1767" s="3" t="s">
        <v>164</v>
      </c>
      <c r="B1767" s="3" t="s">
        <v>177</v>
      </c>
      <c r="C1767" s="3">
        <v>5</v>
      </c>
      <c r="D1767" s="3">
        <v>3</v>
      </c>
      <c r="E1767" s="3">
        <v>3</v>
      </c>
      <c r="F1767" s="3">
        <v>0</v>
      </c>
      <c r="G1767" s="3">
        <v>0</v>
      </c>
    </row>
    <row r="1768" spans="1:7" x14ac:dyDescent="0.25">
      <c r="A1768" t="s">
        <v>142</v>
      </c>
      <c r="B1768" t="s">
        <v>2</v>
      </c>
      <c r="C1768">
        <v>2</v>
      </c>
      <c r="D1768">
        <v>2</v>
      </c>
      <c r="E1768">
        <v>2</v>
      </c>
      <c r="F1768">
        <v>0</v>
      </c>
      <c r="G1768">
        <v>0</v>
      </c>
    </row>
    <row r="1769" spans="1:7" x14ac:dyDescent="0.25">
      <c r="A1769" s="3" t="s">
        <v>142</v>
      </c>
      <c r="B1769" s="3" t="s">
        <v>2</v>
      </c>
      <c r="C1769" s="3">
        <v>3</v>
      </c>
      <c r="D1769" s="3">
        <v>3</v>
      </c>
      <c r="E1769" s="3">
        <v>3</v>
      </c>
      <c r="F1769" s="3">
        <v>0</v>
      </c>
      <c r="G1769" s="3">
        <v>0</v>
      </c>
    </row>
    <row r="1770" spans="1:7" x14ac:dyDescent="0.25">
      <c r="A1770" t="s">
        <v>142</v>
      </c>
      <c r="B1770" t="s">
        <v>5</v>
      </c>
      <c r="C1770">
        <v>7</v>
      </c>
      <c r="D1770">
        <v>7</v>
      </c>
      <c r="E1770">
        <v>7</v>
      </c>
      <c r="F1770">
        <v>0</v>
      </c>
      <c r="G1770">
        <v>0</v>
      </c>
    </row>
    <row r="1771" spans="1:7" x14ac:dyDescent="0.25">
      <c r="A1771" s="3" t="s">
        <v>142</v>
      </c>
      <c r="B1771" s="3" t="s">
        <v>5</v>
      </c>
      <c r="C1771" s="3">
        <v>3</v>
      </c>
      <c r="D1771" s="3">
        <v>3</v>
      </c>
      <c r="E1771" s="3">
        <v>3</v>
      </c>
      <c r="F1771" s="3">
        <v>0</v>
      </c>
      <c r="G1771" s="3">
        <v>0</v>
      </c>
    </row>
    <row r="1772" spans="1:7" x14ac:dyDescent="0.25">
      <c r="A1772" t="s">
        <v>142</v>
      </c>
      <c r="B1772" t="s">
        <v>185</v>
      </c>
      <c r="C1772">
        <f>13+1</f>
        <v>14</v>
      </c>
      <c r="D1772">
        <f>13+1</f>
        <v>14</v>
      </c>
      <c r="E1772">
        <f>13+1</f>
        <v>14</v>
      </c>
      <c r="F1772">
        <v>0</v>
      </c>
      <c r="G1772">
        <v>0</v>
      </c>
    </row>
    <row r="1773" spans="1:7" x14ac:dyDescent="0.25">
      <c r="A1773" s="3" t="s">
        <v>142</v>
      </c>
      <c r="B1773" s="3" t="s">
        <v>185</v>
      </c>
      <c r="C1773" s="3">
        <v>6</v>
      </c>
      <c r="D1773" s="3">
        <v>6</v>
      </c>
      <c r="E1773" s="3">
        <v>6</v>
      </c>
      <c r="F1773" s="3">
        <v>0</v>
      </c>
      <c r="G1773" s="3">
        <v>0</v>
      </c>
    </row>
    <row r="1774" spans="1:7" x14ac:dyDescent="0.25">
      <c r="A1774" t="s">
        <v>142</v>
      </c>
      <c r="B1774" t="s">
        <v>186</v>
      </c>
      <c r="C1774">
        <v>20</v>
      </c>
      <c r="D1774">
        <v>16</v>
      </c>
      <c r="E1774">
        <v>15</v>
      </c>
      <c r="F1774">
        <v>1</v>
      </c>
      <c r="G1774">
        <v>0</v>
      </c>
    </row>
    <row r="1775" spans="1:7" x14ac:dyDescent="0.25">
      <c r="A1775" s="3" t="s">
        <v>142</v>
      </c>
      <c r="B1775" s="3" t="s">
        <v>186</v>
      </c>
      <c r="C1775" s="3">
        <v>13</v>
      </c>
      <c r="D1775" s="3">
        <v>13</v>
      </c>
      <c r="E1775" s="3">
        <f>11+1</f>
        <v>12</v>
      </c>
      <c r="F1775" s="3">
        <f>2-1+0</f>
        <v>1</v>
      </c>
      <c r="G1775" s="3">
        <v>0</v>
      </c>
    </row>
    <row r="1776" spans="1:7" x14ac:dyDescent="0.25">
      <c r="A1776" t="s">
        <v>142</v>
      </c>
      <c r="B1776" t="s">
        <v>187</v>
      </c>
      <c r="C1776">
        <v>39</v>
      </c>
      <c r="D1776">
        <v>39</v>
      </c>
      <c r="E1776">
        <v>37</v>
      </c>
      <c r="F1776">
        <v>2</v>
      </c>
      <c r="G1776">
        <v>0</v>
      </c>
    </row>
    <row r="1777" spans="1:7" x14ac:dyDescent="0.25">
      <c r="A1777" s="3" t="s">
        <v>142</v>
      </c>
      <c r="B1777" s="3" t="s">
        <v>187</v>
      </c>
      <c r="C1777" s="3">
        <v>62</v>
      </c>
      <c r="D1777" s="3">
        <v>61</v>
      </c>
      <c r="E1777" s="3">
        <f>58+3</f>
        <v>61</v>
      </c>
      <c r="F1777" s="3">
        <f>3-3+0</f>
        <v>0</v>
      </c>
      <c r="G1777" s="3">
        <v>0</v>
      </c>
    </row>
    <row r="1778" spans="1:7" x14ac:dyDescent="0.25">
      <c r="A1778" t="s">
        <v>142</v>
      </c>
      <c r="B1778" t="s">
        <v>6</v>
      </c>
      <c r="C1778">
        <v>17</v>
      </c>
      <c r="D1778">
        <v>17</v>
      </c>
      <c r="E1778">
        <v>17</v>
      </c>
      <c r="F1778">
        <v>0</v>
      </c>
      <c r="G1778">
        <v>0</v>
      </c>
    </row>
    <row r="1779" spans="1:7" x14ac:dyDescent="0.25">
      <c r="A1779" s="3" t="s">
        <v>142</v>
      </c>
      <c r="B1779" s="3" t="s">
        <v>6</v>
      </c>
      <c r="C1779" s="3">
        <v>2</v>
      </c>
      <c r="D1779" s="3">
        <v>2</v>
      </c>
      <c r="E1779" s="3">
        <v>2</v>
      </c>
      <c r="F1779" s="3">
        <v>0</v>
      </c>
      <c r="G1779" s="3">
        <v>0</v>
      </c>
    </row>
    <row r="1780" spans="1:7" x14ac:dyDescent="0.25">
      <c r="A1780" s="3" t="s">
        <v>142</v>
      </c>
      <c r="B1780" s="3" t="s">
        <v>7</v>
      </c>
      <c r="C1780" s="3">
        <v>1</v>
      </c>
      <c r="D1780" s="3">
        <v>1</v>
      </c>
      <c r="E1780" s="3">
        <v>1</v>
      </c>
      <c r="F1780" s="3">
        <v>0</v>
      </c>
      <c r="G1780" s="3">
        <v>0</v>
      </c>
    </row>
    <row r="1781" spans="1:7" x14ac:dyDescent="0.25">
      <c r="A1781" t="s">
        <v>142</v>
      </c>
      <c r="B1781" t="s">
        <v>8</v>
      </c>
      <c r="C1781">
        <v>1</v>
      </c>
      <c r="D1781">
        <v>1</v>
      </c>
      <c r="E1781">
        <v>1</v>
      </c>
      <c r="F1781">
        <v>0</v>
      </c>
      <c r="G1781">
        <v>0</v>
      </c>
    </row>
    <row r="1782" spans="1:7" x14ac:dyDescent="0.25">
      <c r="A1782" t="s">
        <v>142</v>
      </c>
      <c r="B1782" t="s">
        <v>9</v>
      </c>
      <c r="C1782">
        <v>1</v>
      </c>
      <c r="D1782">
        <v>1</v>
      </c>
      <c r="E1782">
        <v>1</v>
      </c>
      <c r="F1782">
        <v>0</v>
      </c>
      <c r="G1782">
        <v>0</v>
      </c>
    </row>
    <row r="1783" spans="1:7" x14ac:dyDescent="0.25">
      <c r="A1783" t="s">
        <v>142</v>
      </c>
      <c r="B1783" t="s">
        <v>10</v>
      </c>
      <c r="C1783">
        <v>27</v>
      </c>
      <c r="D1783">
        <v>27</v>
      </c>
      <c r="E1783">
        <v>27</v>
      </c>
      <c r="F1783">
        <v>0</v>
      </c>
      <c r="G1783">
        <v>0</v>
      </c>
    </row>
    <row r="1784" spans="1:7" x14ac:dyDescent="0.25">
      <c r="A1784" s="3" t="s">
        <v>142</v>
      </c>
      <c r="B1784" s="3" t="s">
        <v>10</v>
      </c>
      <c r="C1784" s="3">
        <v>50</v>
      </c>
      <c r="D1784" s="3">
        <v>50</v>
      </c>
      <c r="E1784" s="3">
        <v>50</v>
      </c>
      <c r="F1784" s="3">
        <v>0</v>
      </c>
      <c r="G1784" s="3">
        <v>0</v>
      </c>
    </row>
    <row r="1785" spans="1:7" x14ac:dyDescent="0.25">
      <c r="A1785" s="3" t="s">
        <v>142</v>
      </c>
      <c r="B1785" s="3" t="s">
        <v>177</v>
      </c>
      <c r="C1785" s="3">
        <v>1</v>
      </c>
      <c r="D1785" s="3">
        <v>0</v>
      </c>
      <c r="E1785" s="3">
        <v>0</v>
      </c>
      <c r="F1785" s="3">
        <v>0</v>
      </c>
      <c r="G1785" s="3">
        <v>0</v>
      </c>
    </row>
    <row r="1786" spans="1:7" x14ac:dyDescent="0.25">
      <c r="A1786" t="s">
        <v>105</v>
      </c>
      <c r="B1786" t="s">
        <v>2</v>
      </c>
      <c r="C1786">
        <v>1</v>
      </c>
      <c r="D1786">
        <v>1</v>
      </c>
      <c r="E1786">
        <v>1</v>
      </c>
      <c r="F1786">
        <v>0</v>
      </c>
      <c r="G1786">
        <v>0</v>
      </c>
    </row>
    <row r="1787" spans="1:7" x14ac:dyDescent="0.25">
      <c r="A1787" t="s">
        <v>105</v>
      </c>
      <c r="B1787" t="s">
        <v>5</v>
      </c>
      <c r="C1787">
        <v>4</v>
      </c>
      <c r="D1787">
        <v>4</v>
      </c>
      <c r="E1787">
        <v>4</v>
      </c>
      <c r="F1787">
        <v>0</v>
      </c>
      <c r="G1787">
        <v>0</v>
      </c>
    </row>
    <row r="1788" spans="1:7" x14ac:dyDescent="0.25">
      <c r="A1788" s="3" t="s">
        <v>105</v>
      </c>
      <c r="B1788" s="3" t="s">
        <v>5</v>
      </c>
      <c r="C1788" s="3">
        <v>1</v>
      </c>
      <c r="D1788" s="3">
        <v>1</v>
      </c>
      <c r="E1788" s="3">
        <v>0</v>
      </c>
      <c r="F1788" s="3">
        <v>1</v>
      </c>
      <c r="G1788" s="3">
        <v>0</v>
      </c>
    </row>
    <row r="1789" spans="1:7" x14ac:dyDescent="0.25">
      <c r="A1789" t="s">
        <v>105</v>
      </c>
      <c r="B1789" t="s">
        <v>185</v>
      </c>
      <c r="C1789">
        <v>11</v>
      </c>
      <c r="D1789">
        <v>10</v>
      </c>
      <c r="E1789">
        <f>5+3</f>
        <v>8</v>
      </c>
      <c r="F1789">
        <f>5-4+1</f>
        <v>2</v>
      </c>
      <c r="G1789">
        <v>0</v>
      </c>
    </row>
    <row r="1790" spans="1:7" x14ac:dyDescent="0.25">
      <c r="A1790" s="3" t="s">
        <v>105</v>
      </c>
      <c r="B1790" s="3" t="s">
        <v>185</v>
      </c>
      <c r="C1790" s="3">
        <v>2</v>
      </c>
      <c r="D1790" s="3">
        <v>2</v>
      </c>
      <c r="E1790" s="3">
        <v>1</v>
      </c>
      <c r="F1790" s="3">
        <v>1</v>
      </c>
      <c r="G1790" s="3">
        <v>0</v>
      </c>
    </row>
    <row r="1791" spans="1:7" x14ac:dyDescent="0.25">
      <c r="A1791" t="s">
        <v>105</v>
      </c>
      <c r="B1791" t="s">
        <v>186</v>
      </c>
      <c r="C1791">
        <f>23+1</f>
        <v>24</v>
      </c>
      <c r="D1791">
        <f>23+1</f>
        <v>24</v>
      </c>
      <c r="E1791">
        <f>13+10</f>
        <v>23</v>
      </c>
      <c r="F1791">
        <f>11-11+1</f>
        <v>1</v>
      </c>
      <c r="G1791">
        <v>0</v>
      </c>
    </row>
    <row r="1792" spans="1:7" x14ac:dyDescent="0.25">
      <c r="A1792" s="3" t="s">
        <v>105</v>
      </c>
      <c r="B1792" s="3" t="s">
        <v>186</v>
      </c>
      <c r="C1792" s="3">
        <v>14</v>
      </c>
      <c r="D1792" s="3">
        <v>12</v>
      </c>
      <c r="E1792" s="3">
        <v>3</v>
      </c>
      <c r="F1792" s="3">
        <v>9</v>
      </c>
      <c r="G1792" s="3">
        <v>0</v>
      </c>
    </row>
    <row r="1793" spans="1:7" x14ac:dyDescent="0.25">
      <c r="A1793" t="s">
        <v>105</v>
      </c>
      <c r="B1793" t="s">
        <v>187</v>
      </c>
      <c r="C1793">
        <v>13</v>
      </c>
      <c r="D1793">
        <v>13</v>
      </c>
      <c r="E1793">
        <f>3+6</f>
        <v>9</v>
      </c>
      <c r="F1793">
        <f>10-7+1</f>
        <v>4</v>
      </c>
      <c r="G1793">
        <v>0</v>
      </c>
    </row>
    <row r="1794" spans="1:7" x14ac:dyDescent="0.25">
      <c r="A1794" s="3" t="s">
        <v>105</v>
      </c>
      <c r="B1794" s="3" t="s">
        <v>187</v>
      </c>
      <c r="C1794" s="3">
        <v>7</v>
      </c>
      <c r="D1794" s="3">
        <v>7</v>
      </c>
      <c r="E1794" s="3">
        <v>7</v>
      </c>
      <c r="F1794" s="3">
        <v>0</v>
      </c>
      <c r="G1794" s="3">
        <v>0</v>
      </c>
    </row>
    <row r="1795" spans="1:7" x14ac:dyDescent="0.25">
      <c r="A1795" t="s">
        <v>105</v>
      </c>
      <c r="B1795" t="s">
        <v>6</v>
      </c>
      <c r="C1795">
        <v>1</v>
      </c>
      <c r="D1795">
        <v>1</v>
      </c>
      <c r="E1795">
        <v>1</v>
      </c>
      <c r="F1795">
        <v>0</v>
      </c>
      <c r="G1795">
        <v>0</v>
      </c>
    </row>
    <row r="1796" spans="1:7" x14ac:dyDescent="0.25">
      <c r="A1796" s="3" t="s">
        <v>105</v>
      </c>
      <c r="B1796" s="3" t="s">
        <v>6</v>
      </c>
      <c r="C1796" s="3">
        <v>1</v>
      </c>
      <c r="D1796" s="3">
        <v>0</v>
      </c>
      <c r="E1796" s="3">
        <v>0</v>
      </c>
      <c r="F1796" s="3">
        <v>0</v>
      </c>
      <c r="G1796" s="3">
        <v>0</v>
      </c>
    </row>
    <row r="1797" spans="1:7" x14ac:dyDescent="0.25">
      <c r="A1797" t="s">
        <v>105</v>
      </c>
      <c r="B1797" t="s">
        <v>10</v>
      </c>
      <c r="C1797">
        <v>13</v>
      </c>
      <c r="D1797">
        <v>13</v>
      </c>
      <c r="E1797">
        <v>12</v>
      </c>
      <c r="F1797">
        <v>1</v>
      </c>
      <c r="G1797">
        <v>0</v>
      </c>
    </row>
    <row r="1798" spans="1:7" x14ac:dyDescent="0.25">
      <c r="A1798" s="3" t="s">
        <v>105</v>
      </c>
      <c r="B1798" s="3" t="s">
        <v>10</v>
      </c>
      <c r="C1798" s="3">
        <v>8</v>
      </c>
      <c r="D1798" s="3">
        <v>8</v>
      </c>
      <c r="E1798" s="3">
        <v>8</v>
      </c>
      <c r="F1798" s="3">
        <v>0</v>
      </c>
      <c r="G1798" s="3">
        <v>0</v>
      </c>
    </row>
    <row r="1799" spans="1:7" x14ac:dyDescent="0.25">
      <c r="A1799" t="s">
        <v>105</v>
      </c>
      <c r="B1799" t="s">
        <v>177</v>
      </c>
      <c r="C1799">
        <v>4</v>
      </c>
      <c r="D1799">
        <v>4</v>
      </c>
      <c r="E1799">
        <v>4</v>
      </c>
      <c r="F1799">
        <v>0</v>
      </c>
      <c r="G1799">
        <v>0</v>
      </c>
    </row>
    <row r="1800" spans="1:7" x14ac:dyDescent="0.25">
      <c r="A1800" t="s">
        <v>172</v>
      </c>
      <c r="B1800" t="s">
        <v>2</v>
      </c>
      <c r="C1800">
        <v>3</v>
      </c>
      <c r="D1800">
        <v>3</v>
      </c>
      <c r="E1800">
        <v>3</v>
      </c>
      <c r="F1800">
        <v>0</v>
      </c>
      <c r="G1800">
        <v>0</v>
      </c>
    </row>
    <row r="1801" spans="1:7" x14ac:dyDescent="0.25">
      <c r="A1801" s="3" t="s">
        <v>172</v>
      </c>
      <c r="B1801" s="3" t="s">
        <v>2</v>
      </c>
      <c r="C1801" s="3">
        <v>1</v>
      </c>
      <c r="D1801" s="3">
        <v>1</v>
      </c>
      <c r="E1801" s="3">
        <v>1</v>
      </c>
      <c r="F1801" s="3">
        <v>0</v>
      </c>
      <c r="G1801" s="3">
        <v>0</v>
      </c>
    </row>
    <row r="1802" spans="1:7" x14ac:dyDescent="0.25">
      <c r="A1802" t="s">
        <v>172</v>
      </c>
      <c r="B1802" t="s">
        <v>5</v>
      </c>
      <c r="C1802">
        <v>4</v>
      </c>
      <c r="D1802">
        <v>4</v>
      </c>
      <c r="E1802">
        <v>4</v>
      </c>
      <c r="F1802">
        <v>0</v>
      </c>
      <c r="G1802">
        <v>0</v>
      </c>
    </row>
    <row r="1803" spans="1:7" x14ac:dyDescent="0.25">
      <c r="A1803" s="3" t="s">
        <v>172</v>
      </c>
      <c r="B1803" s="3" t="s">
        <v>5</v>
      </c>
      <c r="C1803" s="3">
        <v>4</v>
      </c>
      <c r="D1803" s="3">
        <v>4</v>
      </c>
      <c r="E1803" s="3">
        <v>4</v>
      </c>
      <c r="F1803" s="3">
        <v>0</v>
      </c>
      <c r="G1803" s="3">
        <v>0</v>
      </c>
    </row>
    <row r="1804" spans="1:7" x14ac:dyDescent="0.25">
      <c r="A1804" t="s">
        <v>172</v>
      </c>
      <c r="B1804" t="s">
        <v>185</v>
      </c>
      <c r="C1804">
        <f>7+1</f>
        <v>8</v>
      </c>
      <c r="D1804">
        <f>7+1</f>
        <v>8</v>
      </c>
      <c r="E1804">
        <f>6+1</f>
        <v>7</v>
      </c>
      <c r="F1804">
        <f>2-1+0</f>
        <v>1</v>
      </c>
      <c r="G1804">
        <v>0</v>
      </c>
    </row>
    <row r="1805" spans="1:7" x14ac:dyDescent="0.25">
      <c r="A1805" s="3" t="s">
        <v>172</v>
      </c>
      <c r="B1805" s="3" t="s">
        <v>185</v>
      </c>
      <c r="C1805" s="3">
        <v>8</v>
      </c>
      <c r="D1805" s="3">
        <v>8</v>
      </c>
      <c r="E1805" s="3">
        <v>8</v>
      </c>
      <c r="F1805" s="3">
        <v>0</v>
      </c>
      <c r="G1805" s="3">
        <v>0</v>
      </c>
    </row>
    <row r="1806" spans="1:7" x14ac:dyDescent="0.25">
      <c r="A1806" t="s">
        <v>172</v>
      </c>
      <c r="B1806" t="s">
        <v>186</v>
      </c>
      <c r="C1806">
        <f>17+1</f>
        <v>18</v>
      </c>
      <c r="D1806">
        <f>17+1</f>
        <v>18</v>
      </c>
      <c r="E1806">
        <f>12+1</f>
        <v>13</v>
      </c>
      <c r="F1806">
        <v>5</v>
      </c>
      <c r="G1806">
        <v>0</v>
      </c>
    </row>
    <row r="1807" spans="1:7" x14ac:dyDescent="0.25">
      <c r="A1807" s="3" t="s">
        <v>172</v>
      </c>
      <c r="B1807" s="3" t="s">
        <v>186</v>
      </c>
      <c r="C1807" s="3">
        <v>14</v>
      </c>
      <c r="D1807" s="3">
        <v>14</v>
      </c>
      <c r="E1807" s="3">
        <f>12+1</f>
        <v>13</v>
      </c>
      <c r="F1807" s="3">
        <f>2-2+1</f>
        <v>1</v>
      </c>
      <c r="G1807" s="3">
        <v>0</v>
      </c>
    </row>
    <row r="1808" spans="1:7" x14ac:dyDescent="0.25">
      <c r="A1808" t="s">
        <v>172</v>
      </c>
      <c r="B1808" t="s">
        <v>187</v>
      </c>
      <c r="C1808">
        <f>14+1</f>
        <v>15</v>
      </c>
      <c r="D1808">
        <f>14+1</f>
        <v>15</v>
      </c>
      <c r="E1808">
        <f>12+1</f>
        <v>13</v>
      </c>
      <c r="F1808">
        <v>2</v>
      </c>
      <c r="G1808">
        <v>0</v>
      </c>
    </row>
    <row r="1809" spans="1:7" x14ac:dyDescent="0.25">
      <c r="A1809" s="3" t="s">
        <v>172</v>
      </c>
      <c r="B1809" s="3" t="s">
        <v>187</v>
      </c>
      <c r="C1809" s="3">
        <v>14</v>
      </c>
      <c r="D1809" s="3">
        <v>14</v>
      </c>
      <c r="E1809" s="3">
        <f>12+1</f>
        <v>13</v>
      </c>
      <c r="F1809" s="3">
        <f>2-1+0</f>
        <v>1</v>
      </c>
      <c r="G1809" s="3">
        <v>0</v>
      </c>
    </row>
    <row r="1810" spans="1:7" x14ac:dyDescent="0.25">
      <c r="A1810" t="s">
        <v>172</v>
      </c>
      <c r="B1810" t="s">
        <v>6</v>
      </c>
      <c r="C1810">
        <v>6</v>
      </c>
      <c r="D1810">
        <v>6</v>
      </c>
      <c r="E1810">
        <v>6</v>
      </c>
      <c r="F1810">
        <v>0</v>
      </c>
      <c r="G1810">
        <v>0</v>
      </c>
    </row>
    <row r="1811" spans="1:7" x14ac:dyDescent="0.25">
      <c r="A1811" s="3" t="s">
        <v>172</v>
      </c>
      <c r="B1811" s="3" t="s">
        <v>6</v>
      </c>
      <c r="C1811" s="3">
        <v>4</v>
      </c>
      <c r="D1811" s="3">
        <v>3</v>
      </c>
      <c r="E1811" s="3">
        <v>3</v>
      </c>
      <c r="F1811" s="3">
        <v>0</v>
      </c>
      <c r="G1811" s="3">
        <v>0</v>
      </c>
    </row>
    <row r="1812" spans="1:7" x14ac:dyDescent="0.25">
      <c r="A1812" t="s">
        <v>172</v>
      </c>
      <c r="B1812" t="s">
        <v>8</v>
      </c>
      <c r="C1812">
        <v>5</v>
      </c>
      <c r="D1812">
        <v>5</v>
      </c>
      <c r="E1812">
        <v>4</v>
      </c>
      <c r="F1812">
        <v>1</v>
      </c>
      <c r="G1812">
        <v>0</v>
      </c>
    </row>
    <row r="1813" spans="1:7" x14ac:dyDescent="0.25">
      <c r="A1813" s="3" t="s">
        <v>172</v>
      </c>
      <c r="B1813" s="3" t="s">
        <v>8</v>
      </c>
      <c r="C1813" s="3">
        <v>2</v>
      </c>
      <c r="D1813" s="3">
        <v>2</v>
      </c>
      <c r="E1813" s="3">
        <v>2</v>
      </c>
      <c r="F1813" s="3">
        <v>0</v>
      </c>
      <c r="G1813" s="3">
        <v>0</v>
      </c>
    </row>
    <row r="1814" spans="1:7" x14ac:dyDescent="0.25">
      <c r="A1814" t="s">
        <v>172</v>
      </c>
      <c r="B1814" t="s">
        <v>9</v>
      </c>
      <c r="C1814">
        <v>2</v>
      </c>
      <c r="D1814">
        <v>2</v>
      </c>
      <c r="E1814">
        <v>2</v>
      </c>
      <c r="F1814">
        <v>0</v>
      </c>
      <c r="G1814">
        <v>0</v>
      </c>
    </row>
    <row r="1815" spans="1:7" x14ac:dyDescent="0.25">
      <c r="A1815" s="3" t="s">
        <v>172</v>
      </c>
      <c r="B1815" s="3" t="s">
        <v>9</v>
      </c>
      <c r="C1815" s="3">
        <v>1</v>
      </c>
      <c r="D1815" s="3">
        <v>1</v>
      </c>
      <c r="E1815" s="3">
        <v>1</v>
      </c>
      <c r="F1815" s="3">
        <v>0</v>
      </c>
      <c r="G1815" s="3">
        <v>0</v>
      </c>
    </row>
    <row r="1816" spans="1:7" x14ac:dyDescent="0.25">
      <c r="A1816" t="s">
        <v>172</v>
      </c>
      <c r="B1816" t="s">
        <v>10</v>
      </c>
      <c r="C1816">
        <v>11</v>
      </c>
      <c r="D1816">
        <v>11</v>
      </c>
      <c r="E1816">
        <v>11</v>
      </c>
      <c r="F1816">
        <v>0</v>
      </c>
      <c r="G1816">
        <v>0</v>
      </c>
    </row>
    <row r="1817" spans="1:7" x14ac:dyDescent="0.25">
      <c r="A1817" s="3" t="s">
        <v>172</v>
      </c>
      <c r="B1817" s="3" t="s">
        <v>10</v>
      </c>
      <c r="C1817" s="3">
        <v>7</v>
      </c>
      <c r="D1817" s="3">
        <v>7</v>
      </c>
      <c r="E1817" s="3">
        <v>6</v>
      </c>
      <c r="F1817" s="3">
        <v>1</v>
      </c>
      <c r="G1817" s="3">
        <v>0</v>
      </c>
    </row>
    <row r="1818" spans="1:7" x14ac:dyDescent="0.25">
      <c r="A1818" t="s">
        <v>172</v>
      </c>
      <c r="B1818" t="s">
        <v>177</v>
      </c>
      <c r="C1818">
        <v>8</v>
      </c>
      <c r="D1818">
        <v>7</v>
      </c>
      <c r="E1818">
        <v>7</v>
      </c>
      <c r="F1818">
        <v>0</v>
      </c>
      <c r="G1818">
        <v>1</v>
      </c>
    </row>
    <row r="1819" spans="1:7" x14ac:dyDescent="0.25">
      <c r="A1819" s="3" t="s">
        <v>172</v>
      </c>
      <c r="B1819" s="3" t="s">
        <v>177</v>
      </c>
      <c r="C1819" s="3">
        <v>1</v>
      </c>
      <c r="D1819" s="3">
        <v>0</v>
      </c>
      <c r="E1819" s="3">
        <v>0</v>
      </c>
      <c r="F1819" s="3">
        <v>0</v>
      </c>
      <c r="G1819" s="3">
        <v>0</v>
      </c>
    </row>
    <row r="1820" spans="1:7" x14ac:dyDescent="0.25">
      <c r="A1820" t="s">
        <v>138</v>
      </c>
      <c r="B1820" t="s">
        <v>4</v>
      </c>
      <c r="C1820">
        <v>1</v>
      </c>
      <c r="D1820">
        <v>0</v>
      </c>
      <c r="E1820">
        <v>0</v>
      </c>
      <c r="F1820">
        <v>0</v>
      </c>
      <c r="G1820">
        <v>0</v>
      </c>
    </row>
    <row r="1821" spans="1:7" x14ac:dyDescent="0.25">
      <c r="A1821" t="s">
        <v>138</v>
      </c>
      <c r="B1821" t="s">
        <v>5</v>
      </c>
      <c r="C1821">
        <v>22</v>
      </c>
      <c r="D1821">
        <v>22</v>
      </c>
      <c r="E1821">
        <v>14</v>
      </c>
      <c r="F1821">
        <v>8</v>
      </c>
      <c r="G1821">
        <v>0</v>
      </c>
    </row>
    <row r="1822" spans="1:7" x14ac:dyDescent="0.25">
      <c r="A1822" s="3" t="s">
        <v>138</v>
      </c>
      <c r="B1822" s="3" t="s">
        <v>5</v>
      </c>
      <c r="C1822" s="3">
        <v>10</v>
      </c>
      <c r="D1822" s="3">
        <v>10</v>
      </c>
      <c r="E1822" s="3">
        <f>7+2</f>
        <v>9</v>
      </c>
      <c r="F1822" s="3">
        <f>3-3+1</f>
        <v>1</v>
      </c>
      <c r="G1822" s="3">
        <v>0</v>
      </c>
    </row>
    <row r="1823" spans="1:7" x14ac:dyDescent="0.25">
      <c r="A1823" t="s">
        <v>138</v>
      </c>
      <c r="B1823" t="s">
        <v>185</v>
      </c>
      <c r="C1823">
        <f>19+3</f>
        <v>22</v>
      </c>
      <c r="D1823">
        <f>19+3</f>
        <v>22</v>
      </c>
      <c r="E1823">
        <f>17+4</f>
        <v>21</v>
      </c>
      <c r="F1823">
        <f>5-4+0</f>
        <v>1</v>
      </c>
      <c r="G1823">
        <v>0</v>
      </c>
    </row>
    <row r="1824" spans="1:7" x14ac:dyDescent="0.25">
      <c r="A1824" s="3" t="s">
        <v>138</v>
      </c>
      <c r="B1824" s="3" t="s">
        <v>185</v>
      </c>
      <c r="C1824" s="3">
        <v>21</v>
      </c>
      <c r="D1824" s="3">
        <v>21</v>
      </c>
      <c r="E1824" s="3">
        <v>19</v>
      </c>
      <c r="F1824" s="3">
        <v>2</v>
      </c>
      <c r="G1824" s="3">
        <v>0</v>
      </c>
    </row>
    <row r="1825" spans="1:7" x14ac:dyDescent="0.25">
      <c r="A1825" t="s">
        <v>138</v>
      </c>
      <c r="B1825" t="s">
        <v>186</v>
      </c>
      <c r="C1825">
        <f>33+2</f>
        <v>35</v>
      </c>
      <c r="D1825">
        <f>33+2</f>
        <v>35</v>
      </c>
      <c r="E1825">
        <f>24+3</f>
        <v>27</v>
      </c>
      <c r="F1825">
        <f>11-5+2</f>
        <v>8</v>
      </c>
      <c r="G1825">
        <v>0</v>
      </c>
    </row>
    <row r="1826" spans="1:7" x14ac:dyDescent="0.25">
      <c r="A1826" s="3" t="s">
        <v>138</v>
      </c>
      <c r="B1826" s="3" t="s">
        <v>186</v>
      </c>
      <c r="C1826" s="3">
        <v>25</v>
      </c>
      <c r="D1826" s="3">
        <v>24</v>
      </c>
      <c r="E1826" s="3">
        <v>23</v>
      </c>
      <c r="F1826" s="3">
        <v>1</v>
      </c>
      <c r="G1826" s="3">
        <v>0</v>
      </c>
    </row>
    <row r="1827" spans="1:7" x14ac:dyDescent="0.25">
      <c r="A1827" t="s">
        <v>138</v>
      </c>
      <c r="B1827" t="s">
        <v>187</v>
      </c>
      <c r="C1827">
        <f>24+1</f>
        <v>25</v>
      </c>
      <c r="D1827">
        <f>24+1</f>
        <v>25</v>
      </c>
      <c r="E1827">
        <f>18+1</f>
        <v>19</v>
      </c>
      <c r="F1827">
        <v>6</v>
      </c>
      <c r="G1827">
        <v>0</v>
      </c>
    </row>
    <row r="1828" spans="1:7" x14ac:dyDescent="0.25">
      <c r="A1828" s="3" t="s">
        <v>138</v>
      </c>
      <c r="B1828" s="3" t="s">
        <v>187</v>
      </c>
      <c r="C1828" s="3">
        <v>12</v>
      </c>
      <c r="D1828" s="3">
        <v>12</v>
      </c>
      <c r="E1828" s="3">
        <f>10+2</f>
        <v>12</v>
      </c>
      <c r="F1828" s="3">
        <f>2-2+0</f>
        <v>0</v>
      </c>
      <c r="G1828" s="3">
        <v>0</v>
      </c>
    </row>
    <row r="1829" spans="1:7" x14ac:dyDescent="0.25">
      <c r="A1829" t="s">
        <v>138</v>
      </c>
      <c r="B1829" t="s">
        <v>6</v>
      </c>
      <c r="C1829">
        <v>3</v>
      </c>
      <c r="D1829">
        <v>3</v>
      </c>
      <c r="E1829">
        <v>3</v>
      </c>
      <c r="F1829">
        <v>0</v>
      </c>
      <c r="G1829">
        <v>0</v>
      </c>
    </row>
    <row r="1830" spans="1:7" x14ac:dyDescent="0.25">
      <c r="A1830" s="3" t="s">
        <v>138</v>
      </c>
      <c r="B1830" s="3" t="s">
        <v>6</v>
      </c>
      <c r="C1830" s="3">
        <v>2</v>
      </c>
      <c r="D1830" s="3">
        <v>2</v>
      </c>
      <c r="E1830" s="3">
        <v>2</v>
      </c>
      <c r="F1830" s="3">
        <v>0</v>
      </c>
      <c r="G1830" s="3">
        <v>0</v>
      </c>
    </row>
    <row r="1831" spans="1:7" x14ac:dyDescent="0.25">
      <c r="A1831" t="s">
        <v>138</v>
      </c>
      <c r="B1831" t="s">
        <v>7</v>
      </c>
      <c r="C1831">
        <v>11</v>
      </c>
      <c r="D1831">
        <v>11</v>
      </c>
      <c r="E1831">
        <v>9</v>
      </c>
      <c r="F1831">
        <v>2</v>
      </c>
      <c r="G1831">
        <v>0</v>
      </c>
    </row>
    <row r="1832" spans="1:7" x14ac:dyDescent="0.25">
      <c r="A1832" s="3" t="s">
        <v>138</v>
      </c>
      <c r="B1832" s="3" t="s">
        <v>7</v>
      </c>
      <c r="C1832" s="3">
        <v>3</v>
      </c>
      <c r="D1832" s="3">
        <v>2</v>
      </c>
      <c r="E1832" s="3">
        <v>2</v>
      </c>
      <c r="F1832" s="3">
        <v>0</v>
      </c>
      <c r="G1832" s="3">
        <v>0</v>
      </c>
    </row>
    <row r="1833" spans="1:7" x14ac:dyDescent="0.25">
      <c r="A1833" t="s">
        <v>138</v>
      </c>
      <c r="B1833" t="s">
        <v>8</v>
      </c>
      <c r="C1833">
        <v>11</v>
      </c>
      <c r="D1833">
        <v>11</v>
      </c>
      <c r="E1833">
        <v>9</v>
      </c>
      <c r="F1833">
        <v>2</v>
      </c>
      <c r="G1833">
        <v>0</v>
      </c>
    </row>
    <row r="1834" spans="1:7" x14ac:dyDescent="0.25">
      <c r="A1834" s="3" t="s">
        <v>138</v>
      </c>
      <c r="B1834" s="3" t="s">
        <v>8</v>
      </c>
      <c r="C1834" s="3">
        <v>12</v>
      </c>
      <c r="D1834" s="3">
        <v>12</v>
      </c>
      <c r="E1834" s="3">
        <v>8</v>
      </c>
      <c r="F1834" s="3">
        <v>4</v>
      </c>
      <c r="G1834" s="3">
        <v>0</v>
      </c>
    </row>
    <row r="1835" spans="1:7" x14ac:dyDescent="0.25">
      <c r="A1835" t="s">
        <v>138</v>
      </c>
      <c r="B1835" t="s">
        <v>9</v>
      </c>
      <c r="C1835">
        <v>12</v>
      </c>
      <c r="D1835">
        <v>12</v>
      </c>
      <c r="E1835">
        <v>10</v>
      </c>
      <c r="F1835">
        <v>2</v>
      </c>
      <c r="G1835">
        <v>0</v>
      </c>
    </row>
    <row r="1836" spans="1:7" x14ac:dyDescent="0.25">
      <c r="A1836" s="3" t="s">
        <v>138</v>
      </c>
      <c r="B1836" s="3" t="s">
        <v>9</v>
      </c>
      <c r="C1836" s="3">
        <v>1</v>
      </c>
      <c r="D1836" s="3">
        <v>1</v>
      </c>
      <c r="E1836" s="3">
        <v>1</v>
      </c>
      <c r="F1836" s="3">
        <v>0</v>
      </c>
      <c r="G1836" s="3">
        <v>0</v>
      </c>
    </row>
    <row r="1837" spans="1:7" x14ac:dyDescent="0.25">
      <c r="A1837" t="s">
        <v>138</v>
      </c>
      <c r="B1837" t="s">
        <v>10</v>
      </c>
      <c r="C1837">
        <v>31</v>
      </c>
      <c r="D1837">
        <v>31</v>
      </c>
      <c r="E1837">
        <v>30</v>
      </c>
      <c r="F1837">
        <v>1</v>
      </c>
      <c r="G1837">
        <v>0</v>
      </c>
    </row>
    <row r="1838" spans="1:7" x14ac:dyDescent="0.25">
      <c r="A1838" s="3" t="s">
        <v>138</v>
      </c>
      <c r="B1838" s="3" t="s">
        <v>10</v>
      </c>
      <c r="C1838" s="3">
        <v>29</v>
      </c>
      <c r="D1838" s="3">
        <v>29</v>
      </c>
      <c r="E1838" s="3">
        <v>24</v>
      </c>
      <c r="F1838" s="3">
        <v>5</v>
      </c>
      <c r="G1838" s="3">
        <v>0</v>
      </c>
    </row>
    <row r="1839" spans="1:7" x14ac:dyDescent="0.25">
      <c r="A1839" t="s">
        <v>138</v>
      </c>
      <c r="B1839" t="s">
        <v>177</v>
      </c>
      <c r="C1839">
        <v>18</v>
      </c>
      <c r="D1839">
        <v>18</v>
      </c>
      <c r="E1839">
        <v>18</v>
      </c>
      <c r="F1839">
        <v>0</v>
      </c>
      <c r="G1839">
        <v>0</v>
      </c>
    </row>
    <row r="1840" spans="1:7" x14ac:dyDescent="0.25">
      <c r="A1840" s="3" t="s">
        <v>138</v>
      </c>
      <c r="B1840" s="3" t="s">
        <v>177</v>
      </c>
      <c r="C1840" s="3">
        <v>6</v>
      </c>
      <c r="D1840" s="3">
        <v>4</v>
      </c>
      <c r="E1840" s="3">
        <v>3</v>
      </c>
      <c r="F1840" s="3">
        <v>1</v>
      </c>
      <c r="G1840" s="3">
        <v>0</v>
      </c>
    </row>
    <row r="1841" spans="1:7" x14ac:dyDescent="0.25">
      <c r="A1841" t="s">
        <v>55</v>
      </c>
      <c r="B1841" t="s">
        <v>1</v>
      </c>
      <c r="C1841">
        <v>1</v>
      </c>
      <c r="D1841">
        <v>1</v>
      </c>
      <c r="E1841">
        <v>1</v>
      </c>
      <c r="F1841">
        <v>0</v>
      </c>
      <c r="G1841">
        <v>0</v>
      </c>
    </row>
    <row r="1842" spans="1:7" x14ac:dyDescent="0.25">
      <c r="A1842" s="3" t="s">
        <v>55</v>
      </c>
      <c r="B1842" s="3" t="s">
        <v>2</v>
      </c>
      <c r="C1842" s="3">
        <v>1</v>
      </c>
      <c r="D1842" s="3">
        <v>1</v>
      </c>
      <c r="E1842" s="3">
        <v>1</v>
      </c>
      <c r="F1842" s="3">
        <v>0</v>
      </c>
      <c r="G1842" s="3">
        <v>0</v>
      </c>
    </row>
    <row r="1843" spans="1:7" x14ac:dyDescent="0.25">
      <c r="A1843" t="s">
        <v>55</v>
      </c>
      <c r="B1843" t="s">
        <v>4</v>
      </c>
      <c r="C1843">
        <v>2</v>
      </c>
      <c r="D1843">
        <v>0</v>
      </c>
      <c r="E1843">
        <v>0</v>
      </c>
      <c r="F1843">
        <v>0</v>
      </c>
      <c r="G1843">
        <v>0</v>
      </c>
    </row>
    <row r="1844" spans="1:7" x14ac:dyDescent="0.25">
      <c r="A1844" t="s">
        <v>55</v>
      </c>
      <c r="B1844" t="s">
        <v>5</v>
      </c>
      <c r="C1844">
        <v>10</v>
      </c>
      <c r="D1844">
        <v>10</v>
      </c>
      <c r="E1844">
        <v>7</v>
      </c>
      <c r="F1844">
        <v>3</v>
      </c>
      <c r="G1844">
        <v>0</v>
      </c>
    </row>
    <row r="1845" spans="1:7" x14ac:dyDescent="0.25">
      <c r="A1845" s="3" t="s">
        <v>55</v>
      </c>
      <c r="B1845" s="3" t="s">
        <v>5</v>
      </c>
      <c r="C1845" s="3">
        <v>9</v>
      </c>
      <c r="D1845" s="3">
        <v>9</v>
      </c>
      <c r="E1845" s="3">
        <f>5+1</f>
        <v>6</v>
      </c>
      <c r="F1845" s="3">
        <f>4-1+0</f>
        <v>3</v>
      </c>
      <c r="G1845" s="3">
        <v>0</v>
      </c>
    </row>
    <row r="1846" spans="1:7" x14ac:dyDescent="0.25">
      <c r="A1846" t="s">
        <v>55</v>
      </c>
      <c r="B1846" t="s">
        <v>185</v>
      </c>
      <c r="C1846">
        <f>42+6</f>
        <v>48</v>
      </c>
      <c r="D1846">
        <f>42+6</f>
        <v>48</v>
      </c>
      <c r="E1846">
        <f>34+7</f>
        <v>41</v>
      </c>
      <c r="F1846">
        <f>14-9+2</f>
        <v>7</v>
      </c>
      <c r="G1846">
        <v>0</v>
      </c>
    </row>
    <row r="1847" spans="1:7" x14ac:dyDescent="0.25">
      <c r="A1847" s="3" t="s">
        <v>55</v>
      </c>
      <c r="B1847" s="3" t="s">
        <v>185</v>
      </c>
      <c r="C1847" s="3">
        <v>21</v>
      </c>
      <c r="D1847" s="3">
        <v>21</v>
      </c>
      <c r="E1847" s="3">
        <v>17</v>
      </c>
      <c r="F1847" s="3">
        <v>4</v>
      </c>
      <c r="G1847" s="3">
        <v>0</v>
      </c>
    </row>
    <row r="1848" spans="1:7" x14ac:dyDescent="0.25">
      <c r="A1848" t="s">
        <v>55</v>
      </c>
      <c r="B1848" t="s">
        <v>186</v>
      </c>
      <c r="C1848">
        <v>53</v>
      </c>
      <c r="D1848">
        <v>52</v>
      </c>
      <c r="E1848">
        <f>37+10</f>
        <v>47</v>
      </c>
      <c r="F1848">
        <f>15-11+1</f>
        <v>5</v>
      </c>
      <c r="G1848">
        <v>0</v>
      </c>
    </row>
    <row r="1849" spans="1:7" x14ac:dyDescent="0.25">
      <c r="A1849" s="3" t="s">
        <v>55</v>
      </c>
      <c r="B1849" s="3" t="s">
        <v>186</v>
      </c>
      <c r="C1849" s="3">
        <v>32</v>
      </c>
      <c r="D1849" s="3">
        <v>32</v>
      </c>
      <c r="E1849" s="3">
        <v>24</v>
      </c>
      <c r="F1849" s="3">
        <v>8</v>
      </c>
      <c r="G1849" s="3">
        <v>0</v>
      </c>
    </row>
    <row r="1850" spans="1:7" x14ac:dyDescent="0.25">
      <c r="A1850" t="s">
        <v>55</v>
      </c>
      <c r="B1850" t="s">
        <v>189</v>
      </c>
      <c r="C1850">
        <v>1</v>
      </c>
      <c r="D1850">
        <v>1</v>
      </c>
      <c r="E1850">
        <v>1</v>
      </c>
      <c r="F1850">
        <v>0</v>
      </c>
      <c r="G1850">
        <v>0</v>
      </c>
    </row>
    <row r="1851" spans="1:7" x14ac:dyDescent="0.25">
      <c r="A1851" t="s">
        <v>55</v>
      </c>
      <c r="B1851" t="s">
        <v>187</v>
      </c>
      <c r="C1851">
        <f>135+2</f>
        <v>137</v>
      </c>
      <c r="D1851">
        <f>134+2</f>
        <v>136</v>
      </c>
      <c r="E1851">
        <f>111+19</f>
        <v>130</v>
      </c>
      <c r="F1851">
        <f>25-20+1</f>
        <v>6</v>
      </c>
      <c r="G1851">
        <v>0</v>
      </c>
    </row>
    <row r="1852" spans="1:7" x14ac:dyDescent="0.25">
      <c r="A1852" s="3" t="s">
        <v>55</v>
      </c>
      <c r="B1852" s="3" t="s">
        <v>187</v>
      </c>
      <c r="C1852" s="3">
        <v>89</v>
      </c>
      <c r="D1852" s="3">
        <v>89</v>
      </c>
      <c r="E1852" s="3">
        <v>75</v>
      </c>
      <c r="F1852" s="3">
        <v>14</v>
      </c>
      <c r="G1852" s="3">
        <v>0</v>
      </c>
    </row>
    <row r="1853" spans="1:7" x14ac:dyDescent="0.25">
      <c r="A1853" t="s">
        <v>55</v>
      </c>
      <c r="B1853" t="s">
        <v>6</v>
      </c>
      <c r="C1853">
        <v>129</v>
      </c>
      <c r="D1853">
        <v>128</v>
      </c>
      <c r="E1853">
        <v>126</v>
      </c>
      <c r="F1853">
        <v>2</v>
      </c>
      <c r="G1853">
        <v>0</v>
      </c>
    </row>
    <row r="1854" spans="1:7" x14ac:dyDescent="0.25">
      <c r="A1854" s="3" t="s">
        <v>55</v>
      </c>
      <c r="B1854" s="3" t="s">
        <v>6</v>
      </c>
      <c r="C1854" s="3">
        <v>12</v>
      </c>
      <c r="D1854" s="3">
        <v>12</v>
      </c>
      <c r="E1854" s="3">
        <v>12</v>
      </c>
      <c r="F1854" s="3">
        <v>0</v>
      </c>
      <c r="G1854" s="3">
        <v>0</v>
      </c>
    </row>
    <row r="1855" spans="1:7" x14ac:dyDescent="0.25">
      <c r="A1855" t="s">
        <v>55</v>
      </c>
      <c r="B1855" t="s">
        <v>8</v>
      </c>
      <c r="C1855">
        <v>9</v>
      </c>
      <c r="D1855">
        <v>9</v>
      </c>
      <c r="E1855">
        <v>9</v>
      </c>
      <c r="F1855">
        <v>0</v>
      </c>
      <c r="G1855">
        <v>0</v>
      </c>
    </row>
    <row r="1856" spans="1:7" x14ac:dyDescent="0.25">
      <c r="A1856" s="3" t="s">
        <v>55</v>
      </c>
      <c r="B1856" s="3" t="s">
        <v>8</v>
      </c>
      <c r="C1856" s="3">
        <v>4</v>
      </c>
      <c r="D1856" s="3">
        <v>4</v>
      </c>
      <c r="E1856" s="3">
        <v>4</v>
      </c>
      <c r="F1856" s="3">
        <v>0</v>
      </c>
      <c r="G1856" s="3">
        <v>0</v>
      </c>
    </row>
    <row r="1857" spans="1:7" x14ac:dyDescent="0.25">
      <c r="A1857" t="s">
        <v>55</v>
      </c>
      <c r="B1857" t="s">
        <v>9</v>
      </c>
      <c r="C1857">
        <v>9</v>
      </c>
      <c r="D1857">
        <v>9</v>
      </c>
      <c r="E1857">
        <v>9</v>
      </c>
      <c r="F1857">
        <v>0</v>
      </c>
      <c r="G1857">
        <v>0</v>
      </c>
    </row>
    <row r="1858" spans="1:7" x14ac:dyDescent="0.25">
      <c r="A1858" t="s">
        <v>55</v>
      </c>
      <c r="B1858" t="s">
        <v>10</v>
      </c>
      <c r="C1858">
        <v>106</v>
      </c>
      <c r="D1858">
        <v>105</v>
      </c>
      <c r="E1858">
        <v>102</v>
      </c>
      <c r="F1858">
        <v>3</v>
      </c>
      <c r="G1858">
        <v>0</v>
      </c>
    </row>
    <row r="1859" spans="1:7" x14ac:dyDescent="0.25">
      <c r="A1859" s="3" t="s">
        <v>55</v>
      </c>
      <c r="B1859" s="3" t="s">
        <v>10</v>
      </c>
      <c r="C1859" s="3">
        <v>43</v>
      </c>
      <c r="D1859" s="3">
        <v>43</v>
      </c>
      <c r="E1859" s="3">
        <v>39</v>
      </c>
      <c r="F1859" s="3">
        <v>4</v>
      </c>
      <c r="G1859" s="3">
        <v>0</v>
      </c>
    </row>
    <row r="1860" spans="1:7" x14ac:dyDescent="0.25">
      <c r="A1860" t="s">
        <v>55</v>
      </c>
      <c r="B1860" t="s">
        <v>177</v>
      </c>
      <c r="C1860">
        <v>8</v>
      </c>
      <c r="D1860">
        <v>8</v>
      </c>
      <c r="E1860">
        <v>7</v>
      </c>
      <c r="F1860">
        <v>1</v>
      </c>
      <c r="G1860">
        <v>0</v>
      </c>
    </row>
    <row r="1861" spans="1:7" x14ac:dyDescent="0.25">
      <c r="A1861" t="s">
        <v>82</v>
      </c>
      <c r="B1861" t="s">
        <v>2</v>
      </c>
      <c r="C1861">
        <v>1</v>
      </c>
      <c r="D1861">
        <v>1</v>
      </c>
      <c r="E1861">
        <v>1</v>
      </c>
      <c r="F1861">
        <v>0</v>
      </c>
      <c r="G1861">
        <v>0</v>
      </c>
    </row>
    <row r="1862" spans="1:7" x14ac:dyDescent="0.25">
      <c r="A1862" s="3" t="s">
        <v>82</v>
      </c>
      <c r="B1862" s="3" t="s">
        <v>2</v>
      </c>
      <c r="C1862" s="3">
        <v>1</v>
      </c>
      <c r="D1862" s="3">
        <v>1</v>
      </c>
      <c r="E1862" s="3">
        <v>1</v>
      </c>
      <c r="F1862" s="3">
        <v>0</v>
      </c>
      <c r="G1862" s="3">
        <v>0</v>
      </c>
    </row>
    <row r="1863" spans="1:7" x14ac:dyDescent="0.25">
      <c r="A1863" t="s">
        <v>82</v>
      </c>
      <c r="B1863" t="s">
        <v>5</v>
      </c>
      <c r="C1863">
        <v>3</v>
      </c>
      <c r="D1863">
        <v>3</v>
      </c>
      <c r="E1863">
        <v>2</v>
      </c>
      <c r="F1863">
        <v>1</v>
      </c>
      <c r="G1863">
        <v>0</v>
      </c>
    </row>
    <row r="1864" spans="1:7" x14ac:dyDescent="0.25">
      <c r="A1864" s="3" t="s">
        <v>82</v>
      </c>
      <c r="B1864" s="3" t="s">
        <v>5</v>
      </c>
      <c r="C1864" s="3">
        <v>7</v>
      </c>
      <c r="D1864" s="3">
        <v>7</v>
      </c>
      <c r="E1864" s="3">
        <v>6</v>
      </c>
      <c r="F1864" s="3">
        <v>1</v>
      </c>
      <c r="G1864" s="3">
        <v>0</v>
      </c>
    </row>
    <row r="1865" spans="1:7" x14ac:dyDescent="0.25">
      <c r="A1865" t="s">
        <v>82</v>
      </c>
      <c r="B1865" t="s">
        <v>185</v>
      </c>
      <c r="C1865">
        <f>15+1</f>
        <v>16</v>
      </c>
      <c r="D1865">
        <f>15+1</f>
        <v>16</v>
      </c>
      <c r="E1865">
        <f>14+2</f>
        <v>16</v>
      </c>
      <c r="F1865">
        <f>2-2+0</f>
        <v>0</v>
      </c>
      <c r="G1865">
        <v>0</v>
      </c>
    </row>
    <row r="1866" spans="1:7" x14ac:dyDescent="0.25">
      <c r="A1866" s="3" t="s">
        <v>82</v>
      </c>
      <c r="B1866" s="3" t="s">
        <v>185</v>
      </c>
      <c r="C1866" s="3">
        <v>21</v>
      </c>
      <c r="D1866" s="3">
        <v>21</v>
      </c>
      <c r="E1866" s="3">
        <v>21</v>
      </c>
      <c r="F1866" s="3">
        <v>0</v>
      </c>
      <c r="G1866" s="3">
        <v>0</v>
      </c>
    </row>
    <row r="1867" spans="1:7" x14ac:dyDescent="0.25">
      <c r="A1867" t="s">
        <v>82</v>
      </c>
      <c r="B1867" t="s">
        <v>186</v>
      </c>
      <c r="C1867">
        <f>23+2</f>
        <v>25</v>
      </c>
      <c r="D1867">
        <f>22+1</f>
        <v>23</v>
      </c>
      <c r="E1867">
        <f>14+5</f>
        <v>19</v>
      </c>
      <c r="F1867">
        <f>9-5+0</f>
        <v>4</v>
      </c>
      <c r="G1867">
        <v>0</v>
      </c>
    </row>
    <row r="1868" spans="1:7" x14ac:dyDescent="0.25">
      <c r="A1868" s="3" t="s">
        <v>82</v>
      </c>
      <c r="B1868" s="3" t="s">
        <v>186</v>
      </c>
      <c r="C1868" s="3">
        <v>22</v>
      </c>
      <c r="D1868" s="3">
        <v>22</v>
      </c>
      <c r="E1868" s="3">
        <v>21</v>
      </c>
      <c r="F1868" s="3">
        <v>1</v>
      </c>
      <c r="G1868" s="3">
        <v>0</v>
      </c>
    </row>
    <row r="1869" spans="1:7" x14ac:dyDescent="0.25">
      <c r="A1869" t="s">
        <v>82</v>
      </c>
      <c r="B1869" t="s">
        <v>187</v>
      </c>
      <c r="C1869">
        <f>19+1</f>
        <v>20</v>
      </c>
      <c r="D1869">
        <f>19+1</f>
        <v>20</v>
      </c>
      <c r="E1869">
        <f>16+3</f>
        <v>19</v>
      </c>
      <c r="F1869">
        <f>4-3+0</f>
        <v>1</v>
      </c>
      <c r="G1869">
        <v>0</v>
      </c>
    </row>
    <row r="1870" spans="1:7" x14ac:dyDescent="0.25">
      <c r="A1870" s="3" t="s">
        <v>82</v>
      </c>
      <c r="B1870" s="3" t="s">
        <v>187</v>
      </c>
      <c r="C1870" s="3">
        <v>8</v>
      </c>
      <c r="D1870" s="3">
        <v>8</v>
      </c>
      <c r="E1870" s="3">
        <v>8</v>
      </c>
      <c r="F1870" s="3">
        <v>0</v>
      </c>
      <c r="G1870" s="3">
        <v>0</v>
      </c>
    </row>
    <row r="1871" spans="1:7" x14ac:dyDescent="0.25">
      <c r="A1871" t="s">
        <v>82</v>
      </c>
      <c r="B1871" t="s">
        <v>6</v>
      </c>
      <c r="C1871">
        <v>14</v>
      </c>
      <c r="D1871">
        <v>14</v>
      </c>
      <c r="E1871">
        <v>14</v>
      </c>
      <c r="F1871">
        <v>0</v>
      </c>
      <c r="G1871">
        <v>0</v>
      </c>
    </row>
    <row r="1872" spans="1:7" x14ac:dyDescent="0.25">
      <c r="A1872" s="3" t="s">
        <v>82</v>
      </c>
      <c r="B1872" s="3" t="s">
        <v>6</v>
      </c>
      <c r="C1872" s="3">
        <v>1</v>
      </c>
      <c r="D1872" s="3">
        <v>1</v>
      </c>
      <c r="E1872" s="3">
        <v>1</v>
      </c>
      <c r="F1872" s="3">
        <v>0</v>
      </c>
      <c r="G1872" s="3">
        <v>0</v>
      </c>
    </row>
    <row r="1873" spans="1:7" x14ac:dyDescent="0.25">
      <c r="A1873" t="s">
        <v>82</v>
      </c>
      <c r="B1873" t="s">
        <v>8</v>
      </c>
      <c r="C1873">
        <v>2</v>
      </c>
      <c r="D1873">
        <v>2</v>
      </c>
      <c r="E1873">
        <v>2</v>
      </c>
      <c r="F1873">
        <v>0</v>
      </c>
      <c r="G1873">
        <v>0</v>
      </c>
    </row>
    <row r="1874" spans="1:7" x14ac:dyDescent="0.25">
      <c r="A1874" s="3" t="s">
        <v>82</v>
      </c>
      <c r="B1874" s="3" t="s">
        <v>8</v>
      </c>
      <c r="C1874" s="3">
        <v>2</v>
      </c>
      <c r="D1874" s="3">
        <v>2</v>
      </c>
      <c r="E1874" s="3">
        <v>2</v>
      </c>
      <c r="F1874" s="3">
        <v>0</v>
      </c>
      <c r="G1874" s="3">
        <v>0</v>
      </c>
    </row>
    <row r="1875" spans="1:7" x14ac:dyDescent="0.25">
      <c r="A1875" t="s">
        <v>82</v>
      </c>
      <c r="B1875" t="s">
        <v>10</v>
      </c>
      <c r="C1875">
        <v>13</v>
      </c>
      <c r="D1875">
        <v>13</v>
      </c>
      <c r="E1875">
        <v>11</v>
      </c>
      <c r="F1875">
        <v>2</v>
      </c>
      <c r="G1875">
        <v>0</v>
      </c>
    </row>
    <row r="1876" spans="1:7" x14ac:dyDescent="0.25">
      <c r="A1876" s="3" t="s">
        <v>82</v>
      </c>
      <c r="B1876" s="3" t="s">
        <v>10</v>
      </c>
      <c r="C1876" s="3">
        <v>11</v>
      </c>
      <c r="D1876" s="3">
        <v>11</v>
      </c>
      <c r="E1876" s="3">
        <v>11</v>
      </c>
      <c r="F1876" s="3">
        <v>0</v>
      </c>
      <c r="G1876" s="3">
        <v>0</v>
      </c>
    </row>
    <row r="1877" spans="1:7" x14ac:dyDescent="0.25">
      <c r="A1877" t="s">
        <v>82</v>
      </c>
      <c r="B1877" t="s">
        <v>177</v>
      </c>
      <c r="C1877">
        <v>1</v>
      </c>
      <c r="D1877">
        <v>1</v>
      </c>
      <c r="E1877">
        <v>1</v>
      </c>
      <c r="F1877">
        <v>0</v>
      </c>
      <c r="G1877">
        <v>0</v>
      </c>
    </row>
    <row r="1878" spans="1:7" x14ac:dyDescent="0.25">
      <c r="A1878" s="3" t="s">
        <v>82</v>
      </c>
      <c r="B1878" s="3" t="s">
        <v>177</v>
      </c>
      <c r="C1878" s="3">
        <v>4</v>
      </c>
      <c r="D1878" s="3">
        <v>4</v>
      </c>
      <c r="E1878" s="3">
        <v>4</v>
      </c>
      <c r="F1878" s="3">
        <v>0</v>
      </c>
      <c r="G1878" s="3">
        <v>0</v>
      </c>
    </row>
    <row r="1879" spans="1:7" x14ac:dyDescent="0.25">
      <c r="A1879" t="s">
        <v>117</v>
      </c>
      <c r="B1879" t="s">
        <v>2</v>
      </c>
      <c r="C1879">
        <v>2</v>
      </c>
      <c r="D1879">
        <v>1</v>
      </c>
      <c r="E1879">
        <v>1</v>
      </c>
      <c r="F1879">
        <v>0</v>
      </c>
      <c r="G1879">
        <v>0</v>
      </c>
    </row>
    <row r="1880" spans="1:7" x14ac:dyDescent="0.25">
      <c r="A1880" t="s">
        <v>117</v>
      </c>
      <c r="B1880" t="s">
        <v>5</v>
      </c>
      <c r="C1880">
        <v>6</v>
      </c>
      <c r="D1880">
        <v>6</v>
      </c>
      <c r="E1880">
        <v>6</v>
      </c>
      <c r="F1880">
        <v>0</v>
      </c>
      <c r="G1880">
        <v>0</v>
      </c>
    </row>
    <row r="1881" spans="1:7" x14ac:dyDescent="0.25">
      <c r="A1881" s="3" t="s">
        <v>117</v>
      </c>
      <c r="B1881" s="3" t="s">
        <v>5</v>
      </c>
      <c r="C1881" s="3">
        <v>4</v>
      </c>
      <c r="D1881" s="3">
        <v>4</v>
      </c>
      <c r="E1881" s="3">
        <v>4</v>
      </c>
      <c r="F1881" s="3">
        <v>0</v>
      </c>
      <c r="G1881" s="3">
        <v>0</v>
      </c>
    </row>
    <row r="1882" spans="1:7" x14ac:dyDescent="0.25">
      <c r="A1882" t="s">
        <v>117</v>
      </c>
      <c r="B1882" t="s">
        <v>185</v>
      </c>
      <c r="C1882">
        <v>6</v>
      </c>
      <c r="D1882">
        <v>6</v>
      </c>
      <c r="E1882">
        <v>6</v>
      </c>
      <c r="F1882">
        <v>0</v>
      </c>
      <c r="G1882">
        <v>0</v>
      </c>
    </row>
    <row r="1883" spans="1:7" x14ac:dyDescent="0.25">
      <c r="A1883" s="3" t="s">
        <v>117</v>
      </c>
      <c r="B1883" s="3" t="s">
        <v>185</v>
      </c>
      <c r="C1883" s="3">
        <v>1</v>
      </c>
      <c r="D1883" s="3">
        <v>1</v>
      </c>
      <c r="E1883" s="3">
        <v>1</v>
      </c>
      <c r="F1883" s="3">
        <v>0</v>
      </c>
      <c r="G1883" s="3">
        <v>0</v>
      </c>
    </row>
    <row r="1884" spans="1:7" x14ac:dyDescent="0.25">
      <c r="A1884" t="s">
        <v>117</v>
      </c>
      <c r="B1884" t="s">
        <v>186</v>
      </c>
      <c r="C1884">
        <v>11</v>
      </c>
      <c r="D1884">
        <v>9</v>
      </c>
      <c r="E1884">
        <v>7</v>
      </c>
      <c r="F1884">
        <v>2</v>
      </c>
      <c r="G1884">
        <v>0</v>
      </c>
    </row>
    <row r="1885" spans="1:7" x14ac:dyDescent="0.25">
      <c r="A1885" s="3" t="s">
        <v>117</v>
      </c>
      <c r="B1885" s="3" t="s">
        <v>186</v>
      </c>
      <c r="C1885" s="3">
        <v>10</v>
      </c>
      <c r="D1885" s="3">
        <v>9</v>
      </c>
      <c r="E1885" s="3">
        <v>9</v>
      </c>
      <c r="F1885" s="3">
        <v>0</v>
      </c>
      <c r="G1885" s="3">
        <v>0</v>
      </c>
    </row>
    <row r="1886" spans="1:7" x14ac:dyDescent="0.25">
      <c r="A1886" t="s">
        <v>117</v>
      </c>
      <c r="B1886" t="s">
        <v>187</v>
      </c>
      <c r="C1886">
        <v>20</v>
      </c>
      <c r="D1886">
        <v>20</v>
      </c>
      <c r="E1886">
        <f>18+1</f>
        <v>19</v>
      </c>
      <c r="F1886">
        <f>2-1+0</f>
        <v>1</v>
      </c>
      <c r="G1886">
        <v>0</v>
      </c>
    </row>
    <row r="1887" spans="1:7" x14ac:dyDescent="0.25">
      <c r="A1887" s="3" t="s">
        <v>117</v>
      </c>
      <c r="B1887" s="3" t="s">
        <v>187</v>
      </c>
      <c r="C1887" s="3">
        <v>6</v>
      </c>
      <c r="D1887" s="3">
        <v>5</v>
      </c>
      <c r="E1887" s="3">
        <v>5</v>
      </c>
      <c r="F1887" s="3">
        <v>0</v>
      </c>
      <c r="G1887" s="3">
        <v>0</v>
      </c>
    </row>
    <row r="1888" spans="1:7" x14ac:dyDescent="0.25">
      <c r="A1888" t="s">
        <v>117</v>
      </c>
      <c r="B1888" t="s">
        <v>6</v>
      </c>
      <c r="C1888">
        <v>2</v>
      </c>
      <c r="D1888">
        <v>2</v>
      </c>
      <c r="E1888">
        <v>2</v>
      </c>
      <c r="F1888">
        <v>0</v>
      </c>
      <c r="G1888">
        <v>0</v>
      </c>
    </row>
    <row r="1889" spans="1:7" x14ac:dyDescent="0.25">
      <c r="A1889" t="s">
        <v>117</v>
      </c>
      <c r="B1889" t="s">
        <v>7</v>
      </c>
      <c r="C1889">
        <v>1</v>
      </c>
      <c r="D1889">
        <v>1</v>
      </c>
      <c r="E1889">
        <v>1</v>
      </c>
      <c r="F1889">
        <v>0</v>
      </c>
      <c r="G1889">
        <v>0</v>
      </c>
    </row>
    <row r="1890" spans="1:7" x14ac:dyDescent="0.25">
      <c r="A1890" t="s">
        <v>117</v>
      </c>
      <c r="B1890" t="s">
        <v>8</v>
      </c>
      <c r="C1890">
        <v>4</v>
      </c>
      <c r="D1890">
        <v>4</v>
      </c>
      <c r="E1890">
        <v>4</v>
      </c>
      <c r="F1890">
        <v>0</v>
      </c>
      <c r="G1890">
        <v>0</v>
      </c>
    </row>
    <row r="1891" spans="1:7" x14ac:dyDescent="0.25">
      <c r="A1891" s="3" t="s">
        <v>117</v>
      </c>
      <c r="B1891" s="3" t="s">
        <v>8</v>
      </c>
      <c r="C1891" s="3">
        <v>3</v>
      </c>
      <c r="D1891" s="3">
        <v>2</v>
      </c>
      <c r="E1891" s="3">
        <v>1</v>
      </c>
      <c r="F1891" s="3">
        <v>1</v>
      </c>
      <c r="G1891" s="3">
        <v>0</v>
      </c>
    </row>
    <row r="1892" spans="1:7" x14ac:dyDescent="0.25">
      <c r="A1892" t="s">
        <v>117</v>
      </c>
      <c r="B1892" t="s">
        <v>9</v>
      </c>
      <c r="C1892">
        <v>3</v>
      </c>
      <c r="D1892">
        <v>3</v>
      </c>
      <c r="E1892">
        <v>3</v>
      </c>
      <c r="F1892">
        <v>0</v>
      </c>
      <c r="G1892">
        <v>0</v>
      </c>
    </row>
    <row r="1893" spans="1:7" x14ac:dyDescent="0.25">
      <c r="A1893" s="3" t="s">
        <v>117</v>
      </c>
      <c r="B1893" s="3" t="s">
        <v>9</v>
      </c>
      <c r="C1893" s="3">
        <v>2</v>
      </c>
      <c r="D1893" s="3">
        <v>2</v>
      </c>
      <c r="E1893" s="3">
        <v>2</v>
      </c>
      <c r="F1893" s="3">
        <v>0</v>
      </c>
      <c r="G1893" s="3">
        <v>0</v>
      </c>
    </row>
    <row r="1894" spans="1:7" x14ac:dyDescent="0.25">
      <c r="A1894" t="s">
        <v>117</v>
      </c>
      <c r="B1894" t="s">
        <v>10</v>
      </c>
      <c r="C1894">
        <v>14</v>
      </c>
      <c r="D1894">
        <v>14</v>
      </c>
      <c r="E1894">
        <v>11</v>
      </c>
      <c r="F1894">
        <v>3</v>
      </c>
      <c r="G1894">
        <v>0</v>
      </c>
    </row>
    <row r="1895" spans="1:7" x14ac:dyDescent="0.25">
      <c r="A1895" s="3" t="s">
        <v>117</v>
      </c>
      <c r="B1895" s="3" t="s">
        <v>10</v>
      </c>
      <c r="C1895" s="3">
        <v>6</v>
      </c>
      <c r="D1895" s="3">
        <v>5</v>
      </c>
      <c r="E1895" s="3">
        <v>2</v>
      </c>
      <c r="F1895" s="3">
        <v>3</v>
      </c>
      <c r="G1895" s="3">
        <v>0</v>
      </c>
    </row>
    <row r="1896" spans="1:7" x14ac:dyDescent="0.25">
      <c r="A1896" t="s">
        <v>117</v>
      </c>
      <c r="B1896" t="s">
        <v>177</v>
      </c>
      <c r="C1896">
        <v>2</v>
      </c>
      <c r="D1896">
        <v>2</v>
      </c>
      <c r="E1896">
        <v>2</v>
      </c>
      <c r="F1896">
        <v>0</v>
      </c>
      <c r="G1896">
        <v>0</v>
      </c>
    </row>
    <row r="1897" spans="1:7" x14ac:dyDescent="0.25">
      <c r="A1897" s="3" t="s">
        <v>117</v>
      </c>
      <c r="B1897" s="3" t="s">
        <v>177</v>
      </c>
      <c r="C1897" s="3">
        <v>4</v>
      </c>
      <c r="D1897" s="3">
        <v>4</v>
      </c>
      <c r="E1897" s="3">
        <v>3</v>
      </c>
      <c r="F1897" s="3">
        <v>1</v>
      </c>
      <c r="G1897" s="3">
        <v>0</v>
      </c>
    </row>
    <row r="1898" spans="1:7" x14ac:dyDescent="0.25">
      <c r="A1898" s="3" t="s">
        <v>151</v>
      </c>
      <c r="B1898" s="3" t="s">
        <v>1</v>
      </c>
      <c r="C1898" s="3">
        <v>1</v>
      </c>
      <c r="D1898" s="3">
        <v>1</v>
      </c>
      <c r="E1898" s="3">
        <v>1</v>
      </c>
      <c r="F1898" s="3">
        <v>0</v>
      </c>
      <c r="G1898" s="3">
        <v>0</v>
      </c>
    </row>
    <row r="1899" spans="1:7" x14ac:dyDescent="0.25">
      <c r="A1899" t="s">
        <v>151</v>
      </c>
      <c r="B1899" t="s">
        <v>2</v>
      </c>
      <c r="C1899">
        <v>5</v>
      </c>
      <c r="D1899">
        <v>5</v>
      </c>
      <c r="E1899">
        <v>4</v>
      </c>
      <c r="F1899">
        <v>1</v>
      </c>
      <c r="G1899">
        <v>0</v>
      </c>
    </row>
    <row r="1900" spans="1:7" x14ac:dyDescent="0.25">
      <c r="A1900" s="3" t="s">
        <v>151</v>
      </c>
      <c r="B1900" s="3" t="s">
        <v>2</v>
      </c>
      <c r="C1900" s="3">
        <v>9</v>
      </c>
      <c r="D1900" s="3">
        <v>9</v>
      </c>
      <c r="E1900" s="3">
        <v>8</v>
      </c>
      <c r="F1900" s="3">
        <v>1</v>
      </c>
      <c r="G1900" s="3">
        <v>0</v>
      </c>
    </row>
    <row r="1901" spans="1:7" x14ac:dyDescent="0.25">
      <c r="A1901" t="s">
        <v>151</v>
      </c>
      <c r="B1901" t="s">
        <v>4</v>
      </c>
      <c r="C1901">
        <v>1</v>
      </c>
      <c r="D1901">
        <v>0</v>
      </c>
      <c r="E1901">
        <v>0</v>
      </c>
      <c r="F1901">
        <v>0</v>
      </c>
      <c r="G1901">
        <v>0</v>
      </c>
    </row>
    <row r="1902" spans="1:7" x14ac:dyDescent="0.25">
      <c r="A1902" t="s">
        <v>151</v>
      </c>
      <c r="B1902" t="s">
        <v>5</v>
      </c>
      <c r="C1902">
        <v>32</v>
      </c>
      <c r="D1902">
        <v>32</v>
      </c>
      <c r="E1902">
        <f>23+6</f>
        <v>29</v>
      </c>
      <c r="F1902">
        <f>9-7+1</f>
        <v>3</v>
      </c>
      <c r="G1902">
        <v>0</v>
      </c>
    </row>
    <row r="1903" spans="1:7" x14ac:dyDescent="0.25">
      <c r="A1903" s="3" t="s">
        <v>151</v>
      </c>
      <c r="B1903" s="3" t="s">
        <v>5</v>
      </c>
      <c r="C1903" s="3">
        <v>37</v>
      </c>
      <c r="D1903" s="3">
        <v>37</v>
      </c>
      <c r="E1903" s="3">
        <v>34</v>
      </c>
      <c r="F1903" s="3">
        <v>3</v>
      </c>
      <c r="G1903" s="3">
        <v>0</v>
      </c>
    </row>
    <row r="1904" spans="1:7" x14ac:dyDescent="0.25">
      <c r="A1904" t="s">
        <v>151</v>
      </c>
      <c r="B1904" t="s">
        <v>185</v>
      </c>
      <c r="C1904">
        <f>41+1</f>
        <v>42</v>
      </c>
      <c r="D1904">
        <f>41+1</f>
        <v>42</v>
      </c>
      <c r="E1904">
        <f>27+9</f>
        <v>36</v>
      </c>
      <c r="F1904">
        <f>15-10+1</f>
        <v>6</v>
      </c>
      <c r="G1904">
        <v>0</v>
      </c>
    </row>
    <row r="1905" spans="1:7" x14ac:dyDescent="0.25">
      <c r="A1905" s="3" t="s">
        <v>151</v>
      </c>
      <c r="B1905" s="3" t="s">
        <v>185</v>
      </c>
      <c r="C1905" s="3">
        <v>19</v>
      </c>
      <c r="D1905" s="3">
        <v>19</v>
      </c>
      <c r="E1905" s="3">
        <v>15</v>
      </c>
      <c r="F1905" s="3">
        <v>4</v>
      </c>
      <c r="G1905" s="3">
        <v>0</v>
      </c>
    </row>
    <row r="1906" spans="1:7" x14ac:dyDescent="0.25">
      <c r="A1906" t="s">
        <v>151</v>
      </c>
      <c r="B1906" t="s">
        <v>186</v>
      </c>
      <c r="C1906">
        <f>130+6</f>
        <v>136</v>
      </c>
      <c r="D1906">
        <f>129+6</f>
        <v>135</v>
      </c>
      <c r="E1906">
        <f>99+20</f>
        <v>119</v>
      </c>
      <c r="F1906">
        <f>36-25+5</f>
        <v>16</v>
      </c>
      <c r="G1906">
        <v>0</v>
      </c>
    </row>
    <row r="1907" spans="1:7" x14ac:dyDescent="0.25">
      <c r="A1907" s="3" t="s">
        <v>151</v>
      </c>
      <c r="B1907" s="3" t="s">
        <v>186</v>
      </c>
      <c r="C1907" s="3">
        <v>64</v>
      </c>
      <c r="D1907" s="3">
        <v>59</v>
      </c>
      <c r="E1907" s="3">
        <v>51</v>
      </c>
      <c r="F1907" s="3">
        <v>8</v>
      </c>
      <c r="G1907" s="3">
        <v>0</v>
      </c>
    </row>
    <row r="1908" spans="1:7" x14ac:dyDescent="0.25">
      <c r="A1908" t="s">
        <v>151</v>
      </c>
      <c r="B1908" t="s">
        <v>187</v>
      </c>
      <c r="C1908">
        <v>91</v>
      </c>
      <c r="D1908">
        <v>90</v>
      </c>
      <c r="E1908">
        <f>65+16</f>
        <v>81</v>
      </c>
      <c r="F1908">
        <f>25-16+0</f>
        <v>9</v>
      </c>
      <c r="G1908">
        <v>0</v>
      </c>
    </row>
    <row r="1909" spans="1:7" x14ac:dyDescent="0.25">
      <c r="A1909" s="3" t="s">
        <v>151</v>
      </c>
      <c r="B1909" s="3" t="s">
        <v>187</v>
      </c>
      <c r="C1909" s="3">
        <v>52</v>
      </c>
      <c r="D1909" s="3">
        <v>52</v>
      </c>
      <c r="E1909" s="3">
        <v>45</v>
      </c>
      <c r="F1909" s="3">
        <v>7</v>
      </c>
      <c r="G1909" s="3">
        <v>0</v>
      </c>
    </row>
    <row r="1910" spans="1:7" x14ac:dyDescent="0.25">
      <c r="A1910" t="s">
        <v>151</v>
      </c>
      <c r="B1910" t="s">
        <v>6</v>
      </c>
      <c r="C1910">
        <v>4</v>
      </c>
      <c r="D1910">
        <v>4</v>
      </c>
      <c r="E1910">
        <v>4</v>
      </c>
      <c r="F1910">
        <v>0</v>
      </c>
      <c r="G1910">
        <v>0</v>
      </c>
    </row>
    <row r="1911" spans="1:7" x14ac:dyDescent="0.25">
      <c r="A1911" s="3" t="s">
        <v>151</v>
      </c>
      <c r="B1911" s="3" t="s">
        <v>6</v>
      </c>
      <c r="C1911" s="3">
        <v>1</v>
      </c>
      <c r="D1911" s="3">
        <v>1</v>
      </c>
      <c r="E1911" s="3">
        <v>1</v>
      </c>
      <c r="F1911" s="3">
        <v>0</v>
      </c>
      <c r="G1911" s="3">
        <v>0</v>
      </c>
    </row>
    <row r="1912" spans="1:7" x14ac:dyDescent="0.25">
      <c r="A1912" t="s">
        <v>151</v>
      </c>
      <c r="B1912" t="s">
        <v>7</v>
      </c>
      <c r="C1912">
        <v>1</v>
      </c>
      <c r="D1912">
        <v>1</v>
      </c>
      <c r="E1912">
        <v>1</v>
      </c>
      <c r="F1912">
        <v>0</v>
      </c>
      <c r="G1912">
        <v>0</v>
      </c>
    </row>
    <row r="1913" spans="1:7" x14ac:dyDescent="0.25">
      <c r="A1913" s="3" t="s">
        <v>151</v>
      </c>
      <c r="B1913" s="3" t="s">
        <v>7</v>
      </c>
      <c r="C1913" s="3">
        <v>2</v>
      </c>
      <c r="D1913" s="3">
        <v>2</v>
      </c>
      <c r="E1913" s="3">
        <v>0</v>
      </c>
      <c r="F1913" s="3">
        <v>2</v>
      </c>
      <c r="G1913" s="3">
        <v>0</v>
      </c>
    </row>
    <row r="1914" spans="1:7" x14ac:dyDescent="0.25">
      <c r="A1914" t="s">
        <v>151</v>
      </c>
      <c r="B1914" t="s">
        <v>8</v>
      </c>
      <c r="C1914">
        <v>8</v>
      </c>
      <c r="D1914">
        <v>8</v>
      </c>
      <c r="E1914">
        <v>5</v>
      </c>
      <c r="F1914">
        <v>3</v>
      </c>
      <c r="G1914">
        <v>0</v>
      </c>
    </row>
    <row r="1915" spans="1:7" x14ac:dyDescent="0.25">
      <c r="A1915" s="3" t="s">
        <v>151</v>
      </c>
      <c r="B1915" s="3" t="s">
        <v>8</v>
      </c>
      <c r="C1915" s="3">
        <v>6</v>
      </c>
      <c r="D1915" s="3">
        <v>6</v>
      </c>
      <c r="E1915" s="3">
        <v>4</v>
      </c>
      <c r="F1915" s="3">
        <v>2</v>
      </c>
      <c r="G1915" s="3">
        <v>0</v>
      </c>
    </row>
    <row r="1916" spans="1:7" x14ac:dyDescent="0.25">
      <c r="A1916" t="s">
        <v>151</v>
      </c>
      <c r="B1916" t="s">
        <v>9</v>
      </c>
      <c r="C1916">
        <v>11</v>
      </c>
      <c r="D1916">
        <v>11</v>
      </c>
      <c r="E1916">
        <v>8</v>
      </c>
      <c r="F1916">
        <v>3</v>
      </c>
      <c r="G1916">
        <v>0</v>
      </c>
    </row>
    <row r="1917" spans="1:7" x14ac:dyDescent="0.25">
      <c r="A1917" s="3" t="s">
        <v>151</v>
      </c>
      <c r="B1917" s="3" t="s">
        <v>9</v>
      </c>
      <c r="C1917" s="3">
        <v>1</v>
      </c>
      <c r="D1917" s="3">
        <v>1</v>
      </c>
      <c r="E1917" s="3">
        <v>1</v>
      </c>
      <c r="F1917" s="3">
        <v>0</v>
      </c>
      <c r="G1917" s="3">
        <v>0</v>
      </c>
    </row>
    <row r="1918" spans="1:7" x14ac:dyDescent="0.25">
      <c r="A1918" t="s">
        <v>151</v>
      </c>
      <c r="B1918" t="s">
        <v>10</v>
      </c>
      <c r="C1918">
        <v>40</v>
      </c>
      <c r="D1918">
        <v>40</v>
      </c>
      <c r="E1918">
        <v>35</v>
      </c>
      <c r="F1918">
        <v>5</v>
      </c>
      <c r="G1918">
        <v>0</v>
      </c>
    </row>
    <row r="1919" spans="1:7" x14ac:dyDescent="0.25">
      <c r="A1919" s="3" t="s">
        <v>151</v>
      </c>
      <c r="B1919" s="3" t="s">
        <v>10</v>
      </c>
      <c r="C1919" s="3">
        <v>38</v>
      </c>
      <c r="D1919" s="3">
        <v>38</v>
      </c>
      <c r="E1919" s="3">
        <v>31</v>
      </c>
      <c r="F1919" s="3">
        <v>7</v>
      </c>
      <c r="G1919" s="3">
        <v>0</v>
      </c>
    </row>
    <row r="1920" spans="1:7" x14ac:dyDescent="0.25">
      <c r="A1920" t="s">
        <v>151</v>
      </c>
      <c r="B1920" t="s">
        <v>177</v>
      </c>
      <c r="C1920">
        <v>27</v>
      </c>
      <c r="D1920">
        <v>27</v>
      </c>
      <c r="E1920">
        <v>27</v>
      </c>
      <c r="F1920">
        <v>0</v>
      </c>
      <c r="G1920">
        <v>0</v>
      </c>
    </row>
    <row r="1921" spans="1:7" x14ac:dyDescent="0.25">
      <c r="A1921" t="s">
        <v>83</v>
      </c>
      <c r="B1921" t="s">
        <v>2</v>
      </c>
      <c r="C1921">
        <v>2</v>
      </c>
      <c r="D1921">
        <v>1</v>
      </c>
      <c r="E1921">
        <v>1</v>
      </c>
      <c r="F1921">
        <v>0</v>
      </c>
      <c r="G1921">
        <v>0</v>
      </c>
    </row>
    <row r="1922" spans="1:7" x14ac:dyDescent="0.25">
      <c r="A1922" s="3" t="s">
        <v>83</v>
      </c>
      <c r="B1922" s="3" t="s">
        <v>2</v>
      </c>
      <c r="C1922" s="3">
        <v>4</v>
      </c>
      <c r="D1922" s="3">
        <v>4</v>
      </c>
      <c r="E1922" s="3">
        <v>4</v>
      </c>
      <c r="F1922" s="3">
        <v>0</v>
      </c>
      <c r="G1922" s="3">
        <v>0</v>
      </c>
    </row>
    <row r="1923" spans="1:7" x14ac:dyDescent="0.25">
      <c r="A1923" s="3" t="s">
        <v>83</v>
      </c>
      <c r="B1923" s="3" t="s">
        <v>4</v>
      </c>
      <c r="C1923" s="3">
        <v>2</v>
      </c>
      <c r="D1923" s="3">
        <v>0</v>
      </c>
      <c r="E1923" s="3">
        <v>0</v>
      </c>
      <c r="F1923" s="3">
        <v>0</v>
      </c>
      <c r="G1923" s="3">
        <v>0</v>
      </c>
    </row>
    <row r="1924" spans="1:7" x14ac:dyDescent="0.25">
      <c r="A1924" t="s">
        <v>83</v>
      </c>
      <c r="B1924" t="s">
        <v>5</v>
      </c>
      <c r="C1924">
        <v>5</v>
      </c>
      <c r="D1924">
        <v>5</v>
      </c>
      <c r="E1924">
        <v>3</v>
      </c>
      <c r="F1924">
        <v>2</v>
      </c>
      <c r="G1924">
        <v>0</v>
      </c>
    </row>
    <row r="1925" spans="1:7" x14ac:dyDescent="0.25">
      <c r="A1925" s="3" t="s">
        <v>83</v>
      </c>
      <c r="B1925" s="3" t="s">
        <v>5</v>
      </c>
      <c r="C1925" s="3">
        <v>9</v>
      </c>
      <c r="D1925" s="3">
        <v>9</v>
      </c>
      <c r="E1925" s="3">
        <v>9</v>
      </c>
      <c r="F1925" s="3">
        <v>0</v>
      </c>
      <c r="G1925" s="3">
        <v>0</v>
      </c>
    </row>
    <row r="1926" spans="1:7" x14ac:dyDescent="0.25">
      <c r="A1926" t="s">
        <v>83</v>
      </c>
      <c r="B1926" t="s">
        <v>185</v>
      </c>
      <c r="C1926">
        <f>6+4</f>
        <v>10</v>
      </c>
      <c r="D1926">
        <f>6+4</f>
        <v>10</v>
      </c>
      <c r="E1926">
        <f>5+3</f>
        <v>8</v>
      </c>
      <c r="F1926">
        <f>1+1</f>
        <v>2</v>
      </c>
      <c r="G1926">
        <v>0</v>
      </c>
    </row>
    <row r="1927" spans="1:7" x14ac:dyDescent="0.25">
      <c r="A1927" s="3" t="s">
        <v>83</v>
      </c>
      <c r="B1927" s="3" t="s">
        <v>185</v>
      </c>
      <c r="C1927" s="3">
        <v>12</v>
      </c>
      <c r="D1927" s="3">
        <v>12</v>
      </c>
      <c r="E1927" s="3">
        <f>7+1</f>
        <v>8</v>
      </c>
      <c r="F1927" s="3">
        <f>5-3+2</f>
        <v>4</v>
      </c>
      <c r="G1927" s="3">
        <v>0</v>
      </c>
    </row>
    <row r="1928" spans="1:7" x14ac:dyDescent="0.25">
      <c r="A1928" t="s">
        <v>83</v>
      </c>
      <c r="B1928" t="s">
        <v>186</v>
      </c>
      <c r="C1928">
        <f>10+1</f>
        <v>11</v>
      </c>
      <c r="D1928">
        <f>8+1</f>
        <v>9</v>
      </c>
      <c r="E1928">
        <f>7+1</f>
        <v>8</v>
      </c>
      <c r="F1928">
        <v>1</v>
      </c>
      <c r="G1928">
        <v>1</v>
      </c>
    </row>
    <row r="1929" spans="1:7" x14ac:dyDescent="0.25">
      <c r="A1929" s="3" t="s">
        <v>83</v>
      </c>
      <c r="B1929" s="3" t="s">
        <v>186</v>
      </c>
      <c r="C1929" s="3">
        <v>16</v>
      </c>
      <c r="D1929" s="3">
        <v>15</v>
      </c>
      <c r="E1929" s="3">
        <f>13+1</f>
        <v>14</v>
      </c>
      <c r="F1929" s="3">
        <f>2-1+0</f>
        <v>1</v>
      </c>
      <c r="G1929" s="3">
        <v>0</v>
      </c>
    </row>
    <row r="1930" spans="1:7" x14ac:dyDescent="0.25">
      <c r="A1930" t="s">
        <v>83</v>
      </c>
      <c r="B1930" t="s">
        <v>187</v>
      </c>
      <c r="C1930">
        <v>32</v>
      </c>
      <c r="D1930">
        <v>32</v>
      </c>
      <c r="E1930">
        <v>29</v>
      </c>
      <c r="F1930">
        <v>3</v>
      </c>
      <c r="G1930">
        <v>0</v>
      </c>
    </row>
    <row r="1931" spans="1:7" x14ac:dyDescent="0.25">
      <c r="A1931" s="3" t="s">
        <v>83</v>
      </c>
      <c r="B1931" s="3" t="s">
        <v>187</v>
      </c>
      <c r="C1931" s="3">
        <v>15</v>
      </c>
      <c r="D1931" s="3">
        <v>15</v>
      </c>
      <c r="E1931" s="3">
        <v>14</v>
      </c>
      <c r="F1931" s="3">
        <v>1</v>
      </c>
      <c r="G1931" s="3">
        <v>0</v>
      </c>
    </row>
    <row r="1932" spans="1:7" x14ac:dyDescent="0.25">
      <c r="A1932" t="s">
        <v>83</v>
      </c>
      <c r="B1932" t="s">
        <v>6</v>
      </c>
      <c r="C1932">
        <v>4</v>
      </c>
      <c r="D1932">
        <v>4</v>
      </c>
      <c r="E1932">
        <v>4</v>
      </c>
      <c r="F1932">
        <v>0</v>
      </c>
      <c r="G1932">
        <v>0</v>
      </c>
    </row>
    <row r="1933" spans="1:7" x14ac:dyDescent="0.25">
      <c r="A1933" s="3" t="s">
        <v>83</v>
      </c>
      <c r="B1933" s="3" t="s">
        <v>6</v>
      </c>
      <c r="C1933" s="3">
        <v>4</v>
      </c>
      <c r="D1933" s="3">
        <v>4</v>
      </c>
      <c r="E1933" s="3">
        <v>4</v>
      </c>
      <c r="F1933" s="3">
        <v>0</v>
      </c>
      <c r="G1933" s="3">
        <v>0</v>
      </c>
    </row>
    <row r="1934" spans="1:7" x14ac:dyDescent="0.25">
      <c r="A1934" t="s">
        <v>83</v>
      </c>
      <c r="B1934" t="s">
        <v>8</v>
      </c>
      <c r="C1934">
        <v>3</v>
      </c>
      <c r="D1934">
        <v>3</v>
      </c>
      <c r="E1934">
        <v>2</v>
      </c>
      <c r="F1934">
        <v>1</v>
      </c>
      <c r="G1934">
        <v>0</v>
      </c>
    </row>
    <row r="1935" spans="1:7" x14ac:dyDescent="0.25">
      <c r="A1935" s="3" t="s">
        <v>83</v>
      </c>
      <c r="B1935" s="3" t="s">
        <v>8</v>
      </c>
      <c r="C1935" s="3">
        <v>4</v>
      </c>
      <c r="D1935" s="3">
        <v>4</v>
      </c>
      <c r="E1935" s="3">
        <v>4</v>
      </c>
      <c r="F1935" s="3">
        <v>0</v>
      </c>
      <c r="G1935" s="3">
        <v>0</v>
      </c>
    </row>
    <row r="1936" spans="1:7" x14ac:dyDescent="0.25">
      <c r="A1936" t="s">
        <v>83</v>
      </c>
      <c r="B1936" t="s">
        <v>9</v>
      </c>
      <c r="C1936">
        <v>4</v>
      </c>
      <c r="D1936">
        <v>4</v>
      </c>
      <c r="E1936">
        <v>3</v>
      </c>
      <c r="F1936">
        <v>1</v>
      </c>
      <c r="G1936">
        <v>0</v>
      </c>
    </row>
    <row r="1937" spans="1:7" x14ac:dyDescent="0.25">
      <c r="A1937" s="3" t="s">
        <v>83</v>
      </c>
      <c r="B1937" s="3" t="s">
        <v>9</v>
      </c>
      <c r="C1937" s="3">
        <v>3</v>
      </c>
      <c r="D1937" s="3">
        <v>3</v>
      </c>
      <c r="E1937" s="3">
        <v>3</v>
      </c>
      <c r="F1937" s="3">
        <v>0</v>
      </c>
      <c r="G1937" s="3">
        <v>0</v>
      </c>
    </row>
    <row r="1938" spans="1:7" x14ac:dyDescent="0.25">
      <c r="A1938" t="s">
        <v>83</v>
      </c>
      <c r="B1938" t="s">
        <v>10</v>
      </c>
      <c r="C1938">
        <v>43</v>
      </c>
      <c r="D1938">
        <v>43</v>
      </c>
      <c r="E1938">
        <v>40</v>
      </c>
      <c r="F1938">
        <v>3</v>
      </c>
      <c r="G1938">
        <v>0</v>
      </c>
    </row>
    <row r="1939" spans="1:7" x14ac:dyDescent="0.25">
      <c r="A1939" s="3" t="s">
        <v>83</v>
      </c>
      <c r="B1939" s="3" t="s">
        <v>10</v>
      </c>
      <c r="C1939" s="3">
        <v>26</v>
      </c>
      <c r="D1939" s="3">
        <v>26</v>
      </c>
      <c r="E1939" s="3">
        <v>21</v>
      </c>
      <c r="F1939" s="3">
        <v>5</v>
      </c>
      <c r="G1939" s="3">
        <v>0</v>
      </c>
    </row>
    <row r="1940" spans="1:7" x14ac:dyDescent="0.25">
      <c r="A1940" t="s">
        <v>156</v>
      </c>
      <c r="B1940" t="s">
        <v>5</v>
      </c>
      <c r="C1940">
        <v>8</v>
      </c>
      <c r="D1940">
        <v>8</v>
      </c>
      <c r="E1940">
        <v>8</v>
      </c>
      <c r="F1940">
        <v>0</v>
      </c>
      <c r="G1940">
        <v>0</v>
      </c>
    </row>
    <row r="1941" spans="1:7" x14ac:dyDescent="0.25">
      <c r="A1941" s="3" t="s">
        <v>156</v>
      </c>
      <c r="B1941" s="3" t="s">
        <v>5</v>
      </c>
      <c r="C1941" s="3">
        <v>13</v>
      </c>
      <c r="D1941" s="3">
        <v>13</v>
      </c>
      <c r="E1941" s="3">
        <v>12</v>
      </c>
      <c r="F1941" s="3">
        <v>1</v>
      </c>
      <c r="G1941" s="3">
        <v>0</v>
      </c>
    </row>
    <row r="1942" spans="1:7" x14ac:dyDescent="0.25">
      <c r="A1942" t="s">
        <v>156</v>
      </c>
      <c r="B1942" t="s">
        <v>185</v>
      </c>
      <c r="C1942">
        <f>21+1</f>
        <v>22</v>
      </c>
      <c r="D1942">
        <f>21+1</f>
        <v>22</v>
      </c>
      <c r="E1942">
        <f>18+1</f>
        <v>19</v>
      </c>
      <c r="F1942">
        <v>3</v>
      </c>
      <c r="G1942">
        <v>0</v>
      </c>
    </row>
    <row r="1943" spans="1:7" x14ac:dyDescent="0.25">
      <c r="A1943" s="3" t="s">
        <v>156</v>
      </c>
      <c r="B1943" s="3" t="s">
        <v>185</v>
      </c>
      <c r="C1943" s="3">
        <v>16</v>
      </c>
      <c r="D1943" s="3">
        <v>15</v>
      </c>
      <c r="E1943" s="3">
        <f>12+1</f>
        <v>13</v>
      </c>
      <c r="F1943" s="3">
        <f>3-1+0</f>
        <v>2</v>
      </c>
      <c r="G1943" s="3">
        <v>1</v>
      </c>
    </row>
    <row r="1944" spans="1:7" x14ac:dyDescent="0.25">
      <c r="A1944" t="s">
        <v>156</v>
      </c>
      <c r="B1944" t="s">
        <v>186</v>
      </c>
      <c r="C1944">
        <v>33</v>
      </c>
      <c r="D1944">
        <v>32</v>
      </c>
      <c r="E1944">
        <f>25+3</f>
        <v>28</v>
      </c>
      <c r="F1944">
        <f>7-3+0</f>
        <v>4</v>
      </c>
      <c r="G1944">
        <v>1</v>
      </c>
    </row>
    <row r="1945" spans="1:7" x14ac:dyDescent="0.25">
      <c r="A1945" s="3" t="s">
        <v>156</v>
      </c>
      <c r="B1945" s="3" t="s">
        <v>186</v>
      </c>
      <c r="C1945" s="3">
        <v>16</v>
      </c>
      <c r="D1945" s="3">
        <v>16</v>
      </c>
      <c r="E1945" s="3">
        <v>16</v>
      </c>
      <c r="F1945" s="3">
        <v>0</v>
      </c>
      <c r="G1945" s="3">
        <v>0</v>
      </c>
    </row>
    <row r="1946" spans="1:7" x14ac:dyDescent="0.25">
      <c r="A1946" t="s">
        <v>156</v>
      </c>
      <c r="B1946" t="s">
        <v>187</v>
      </c>
      <c r="C1946">
        <v>18</v>
      </c>
      <c r="D1946">
        <v>18</v>
      </c>
      <c r="E1946">
        <f>15+3</f>
        <v>18</v>
      </c>
      <c r="F1946">
        <f>3-3+0</f>
        <v>0</v>
      </c>
      <c r="G1946">
        <v>0</v>
      </c>
    </row>
    <row r="1947" spans="1:7" x14ac:dyDescent="0.25">
      <c r="A1947" s="3" t="s">
        <v>156</v>
      </c>
      <c r="B1947" s="3" t="s">
        <v>187</v>
      </c>
      <c r="C1947" s="3">
        <v>11</v>
      </c>
      <c r="D1947" s="3">
        <v>11</v>
      </c>
      <c r="E1947" s="3">
        <v>10</v>
      </c>
      <c r="F1947" s="3">
        <v>1</v>
      </c>
      <c r="G1947" s="3">
        <v>0</v>
      </c>
    </row>
    <row r="1948" spans="1:7" x14ac:dyDescent="0.25">
      <c r="A1948" t="s">
        <v>156</v>
      </c>
      <c r="B1948" t="s">
        <v>6</v>
      </c>
      <c r="C1948">
        <v>20</v>
      </c>
      <c r="D1948">
        <v>20</v>
      </c>
      <c r="E1948">
        <v>20</v>
      </c>
      <c r="F1948">
        <v>0</v>
      </c>
      <c r="G1948">
        <v>0</v>
      </c>
    </row>
    <row r="1949" spans="1:7" x14ac:dyDescent="0.25">
      <c r="A1949" s="3" t="s">
        <v>156</v>
      </c>
      <c r="B1949" s="3" t="s">
        <v>6</v>
      </c>
      <c r="C1949" s="3">
        <v>7</v>
      </c>
      <c r="D1949" s="3">
        <v>7</v>
      </c>
      <c r="E1949" s="3">
        <v>7</v>
      </c>
      <c r="F1949" s="3">
        <v>0</v>
      </c>
      <c r="G1949" s="3">
        <v>0</v>
      </c>
    </row>
    <row r="1950" spans="1:7" x14ac:dyDescent="0.25">
      <c r="A1950" t="s">
        <v>156</v>
      </c>
      <c r="B1950" t="s">
        <v>7</v>
      </c>
      <c r="C1950">
        <v>1</v>
      </c>
      <c r="D1950">
        <v>1</v>
      </c>
      <c r="E1950">
        <v>1</v>
      </c>
      <c r="F1950">
        <v>0</v>
      </c>
      <c r="G1950">
        <v>0</v>
      </c>
    </row>
    <row r="1951" spans="1:7" x14ac:dyDescent="0.25">
      <c r="A1951" s="3" t="s">
        <v>156</v>
      </c>
      <c r="B1951" s="3" t="s">
        <v>7</v>
      </c>
      <c r="C1951" s="3">
        <v>2</v>
      </c>
      <c r="D1951" s="3">
        <v>2</v>
      </c>
      <c r="E1951" s="3">
        <v>2</v>
      </c>
      <c r="F1951" s="3">
        <v>0</v>
      </c>
      <c r="G1951" s="3">
        <v>0</v>
      </c>
    </row>
    <row r="1952" spans="1:7" x14ac:dyDescent="0.25">
      <c r="A1952" t="s">
        <v>156</v>
      </c>
      <c r="B1952" t="s">
        <v>8</v>
      </c>
      <c r="C1952">
        <v>10</v>
      </c>
      <c r="D1952">
        <v>10</v>
      </c>
      <c r="E1952">
        <v>10</v>
      </c>
      <c r="F1952">
        <v>0</v>
      </c>
      <c r="G1952">
        <v>0</v>
      </c>
    </row>
    <row r="1953" spans="1:7" x14ac:dyDescent="0.25">
      <c r="A1953" s="3" t="s">
        <v>156</v>
      </c>
      <c r="B1953" s="3" t="s">
        <v>8</v>
      </c>
      <c r="C1953" s="3">
        <v>6</v>
      </c>
      <c r="D1953" s="3">
        <v>6</v>
      </c>
      <c r="E1953" s="3">
        <v>6</v>
      </c>
      <c r="F1953" s="3">
        <v>0</v>
      </c>
      <c r="G1953" s="3">
        <v>0</v>
      </c>
    </row>
    <row r="1954" spans="1:7" x14ac:dyDescent="0.25">
      <c r="A1954" t="s">
        <v>156</v>
      </c>
      <c r="B1954" t="s">
        <v>9</v>
      </c>
      <c r="C1954">
        <v>7</v>
      </c>
      <c r="D1954">
        <v>7</v>
      </c>
      <c r="E1954">
        <v>7</v>
      </c>
      <c r="F1954">
        <v>0</v>
      </c>
      <c r="G1954">
        <v>0</v>
      </c>
    </row>
    <row r="1955" spans="1:7" x14ac:dyDescent="0.25">
      <c r="A1955" s="3" t="s">
        <v>156</v>
      </c>
      <c r="B1955" s="3" t="s">
        <v>9</v>
      </c>
      <c r="C1955" s="3">
        <v>3</v>
      </c>
      <c r="D1955" s="3">
        <v>3</v>
      </c>
      <c r="E1955" s="3">
        <v>3</v>
      </c>
      <c r="F1955" s="3">
        <v>0</v>
      </c>
      <c r="G1955" s="3">
        <v>0</v>
      </c>
    </row>
    <row r="1956" spans="1:7" x14ac:dyDescent="0.25">
      <c r="A1956" t="s">
        <v>156</v>
      </c>
      <c r="B1956" t="s">
        <v>10</v>
      </c>
      <c r="C1956">
        <v>27</v>
      </c>
      <c r="D1956">
        <v>27</v>
      </c>
      <c r="E1956">
        <v>27</v>
      </c>
      <c r="F1956">
        <v>0</v>
      </c>
      <c r="G1956">
        <v>0</v>
      </c>
    </row>
    <row r="1957" spans="1:7" x14ac:dyDescent="0.25">
      <c r="A1957" s="3" t="s">
        <v>156</v>
      </c>
      <c r="B1957" s="3" t="s">
        <v>10</v>
      </c>
      <c r="C1957" s="3">
        <v>16</v>
      </c>
      <c r="D1957" s="3">
        <v>16</v>
      </c>
      <c r="E1957" s="3">
        <v>16</v>
      </c>
      <c r="F1957" s="3">
        <v>0</v>
      </c>
      <c r="G1957" s="3">
        <v>0</v>
      </c>
    </row>
    <row r="1958" spans="1:7" x14ac:dyDescent="0.25">
      <c r="A1958" t="s">
        <v>156</v>
      </c>
      <c r="B1958" t="s">
        <v>177</v>
      </c>
      <c r="C1958">
        <v>12</v>
      </c>
      <c r="D1958">
        <v>12</v>
      </c>
      <c r="E1958">
        <v>9</v>
      </c>
      <c r="F1958">
        <v>3</v>
      </c>
      <c r="G1958">
        <v>0</v>
      </c>
    </row>
    <row r="1959" spans="1:7" x14ac:dyDescent="0.25">
      <c r="A1959" s="3" t="s">
        <v>156</v>
      </c>
      <c r="B1959" s="3" t="s">
        <v>177</v>
      </c>
      <c r="C1959" s="3">
        <v>11</v>
      </c>
      <c r="D1959" s="3">
        <v>10</v>
      </c>
      <c r="E1959" s="3">
        <v>10</v>
      </c>
      <c r="F1959" s="3">
        <v>0</v>
      </c>
      <c r="G1959" s="3">
        <v>0</v>
      </c>
    </row>
    <row r="1960" spans="1:7" x14ac:dyDescent="0.25">
      <c r="A1960" t="s">
        <v>161</v>
      </c>
      <c r="B1960" t="s">
        <v>4</v>
      </c>
      <c r="C1960">
        <v>1</v>
      </c>
      <c r="D1960">
        <v>0</v>
      </c>
      <c r="E1960">
        <v>0</v>
      </c>
      <c r="F1960">
        <v>0</v>
      </c>
      <c r="G1960">
        <v>0</v>
      </c>
    </row>
    <row r="1961" spans="1:7" x14ac:dyDescent="0.25">
      <c r="A1961" t="s">
        <v>161</v>
      </c>
      <c r="B1961" t="s">
        <v>5</v>
      </c>
      <c r="C1961">
        <v>5</v>
      </c>
      <c r="D1961">
        <v>4</v>
      </c>
      <c r="E1961">
        <v>4</v>
      </c>
      <c r="F1961">
        <v>0</v>
      </c>
      <c r="G1961">
        <v>0</v>
      </c>
    </row>
    <row r="1962" spans="1:7" x14ac:dyDescent="0.25">
      <c r="A1962" s="3" t="s">
        <v>161</v>
      </c>
      <c r="B1962" s="3" t="s">
        <v>5</v>
      </c>
      <c r="C1962" s="3">
        <v>1</v>
      </c>
      <c r="D1962" s="3">
        <v>0</v>
      </c>
      <c r="E1962" s="3">
        <v>0</v>
      </c>
      <c r="F1962" s="3">
        <v>0</v>
      </c>
      <c r="G1962" s="3">
        <v>0</v>
      </c>
    </row>
    <row r="1963" spans="1:7" x14ac:dyDescent="0.25">
      <c r="A1963" t="s">
        <v>161</v>
      </c>
      <c r="B1963" t="s">
        <v>185</v>
      </c>
      <c r="C1963">
        <v>9</v>
      </c>
      <c r="D1963">
        <v>7</v>
      </c>
      <c r="E1963">
        <v>6</v>
      </c>
      <c r="F1963">
        <v>1</v>
      </c>
      <c r="G1963">
        <v>0</v>
      </c>
    </row>
    <row r="1964" spans="1:7" x14ac:dyDescent="0.25">
      <c r="A1964" s="3" t="s">
        <v>161</v>
      </c>
      <c r="B1964" s="3" t="s">
        <v>185</v>
      </c>
      <c r="C1964" s="3">
        <v>9</v>
      </c>
      <c r="D1964" s="3">
        <v>6</v>
      </c>
      <c r="E1964" s="3">
        <v>6</v>
      </c>
      <c r="F1964" s="3">
        <v>0</v>
      </c>
      <c r="G1964" s="3">
        <v>0</v>
      </c>
    </row>
    <row r="1965" spans="1:7" x14ac:dyDescent="0.25">
      <c r="A1965" t="s">
        <v>161</v>
      </c>
      <c r="B1965" t="s">
        <v>186</v>
      </c>
      <c r="C1965">
        <f>16+1</f>
        <v>17</v>
      </c>
      <c r="D1965">
        <f>16+1</f>
        <v>17</v>
      </c>
      <c r="E1965">
        <f>14+2</f>
        <v>16</v>
      </c>
      <c r="F1965">
        <f>3-2+0</f>
        <v>1</v>
      </c>
      <c r="G1965">
        <v>0</v>
      </c>
    </row>
    <row r="1966" spans="1:7" x14ac:dyDescent="0.25">
      <c r="A1966" s="3" t="s">
        <v>161</v>
      </c>
      <c r="B1966" s="3" t="s">
        <v>186</v>
      </c>
      <c r="C1966" s="3">
        <v>13</v>
      </c>
      <c r="D1966" s="3">
        <v>12</v>
      </c>
      <c r="E1966" s="3">
        <v>12</v>
      </c>
      <c r="F1966" s="3">
        <v>0</v>
      </c>
      <c r="G1966" s="3">
        <v>0</v>
      </c>
    </row>
    <row r="1967" spans="1:7" x14ac:dyDescent="0.25">
      <c r="A1967" t="s">
        <v>161</v>
      </c>
      <c r="B1967" t="s">
        <v>187</v>
      </c>
      <c r="C1967">
        <v>21</v>
      </c>
      <c r="D1967">
        <v>20</v>
      </c>
      <c r="E1967">
        <v>20</v>
      </c>
      <c r="F1967">
        <v>0</v>
      </c>
      <c r="G1967">
        <v>0</v>
      </c>
    </row>
    <row r="1968" spans="1:7" x14ac:dyDescent="0.25">
      <c r="A1968" s="3" t="s">
        <v>161</v>
      </c>
      <c r="B1968" s="3" t="s">
        <v>187</v>
      </c>
      <c r="C1968" s="3">
        <v>9</v>
      </c>
      <c r="D1968" s="3">
        <v>4</v>
      </c>
      <c r="E1968" s="3">
        <v>4</v>
      </c>
      <c r="F1968" s="3">
        <v>0</v>
      </c>
      <c r="G1968" s="3">
        <v>0</v>
      </c>
    </row>
    <row r="1969" spans="1:12" x14ac:dyDescent="0.25">
      <c r="A1969" t="s">
        <v>161</v>
      </c>
      <c r="B1969" t="s">
        <v>7</v>
      </c>
      <c r="C1969">
        <v>6</v>
      </c>
      <c r="D1969">
        <v>0</v>
      </c>
      <c r="E1969">
        <v>0</v>
      </c>
      <c r="F1969">
        <v>0</v>
      </c>
      <c r="G1969">
        <v>0</v>
      </c>
    </row>
    <row r="1970" spans="1:12" x14ac:dyDescent="0.25">
      <c r="A1970" t="s">
        <v>161</v>
      </c>
      <c r="B1970" t="s">
        <v>8</v>
      </c>
      <c r="C1970">
        <v>5</v>
      </c>
      <c r="D1970">
        <v>0</v>
      </c>
      <c r="E1970">
        <v>0</v>
      </c>
      <c r="F1970">
        <v>0</v>
      </c>
      <c r="G1970">
        <v>0</v>
      </c>
    </row>
    <row r="1971" spans="1:12" x14ac:dyDescent="0.25">
      <c r="A1971" s="3" t="s">
        <v>161</v>
      </c>
      <c r="B1971" s="3" t="s">
        <v>8</v>
      </c>
      <c r="C1971" s="3">
        <v>1</v>
      </c>
      <c r="D1971" s="3">
        <v>0</v>
      </c>
      <c r="E1971" s="3">
        <v>0</v>
      </c>
      <c r="F1971" s="3">
        <v>0</v>
      </c>
      <c r="G1971" s="3">
        <v>0</v>
      </c>
    </row>
    <row r="1972" spans="1:12" x14ac:dyDescent="0.25">
      <c r="A1972" t="s">
        <v>161</v>
      </c>
      <c r="B1972" t="s">
        <v>9</v>
      </c>
      <c r="C1972">
        <v>6</v>
      </c>
      <c r="D1972">
        <v>1</v>
      </c>
      <c r="E1972">
        <v>1</v>
      </c>
      <c r="F1972">
        <v>0</v>
      </c>
      <c r="G1972">
        <v>0</v>
      </c>
    </row>
    <row r="1973" spans="1:12" x14ac:dyDescent="0.25">
      <c r="A1973" s="3" t="s">
        <v>161</v>
      </c>
      <c r="B1973" s="3" t="s">
        <v>9</v>
      </c>
      <c r="C1973" s="3">
        <v>1</v>
      </c>
      <c r="D1973" s="3">
        <v>0</v>
      </c>
      <c r="E1973" s="3">
        <v>0</v>
      </c>
      <c r="F1973" s="3">
        <v>0</v>
      </c>
      <c r="G1973" s="3">
        <v>0</v>
      </c>
    </row>
    <row r="1974" spans="1:12" x14ac:dyDescent="0.25">
      <c r="A1974" t="s">
        <v>161</v>
      </c>
      <c r="B1974" t="s">
        <v>10</v>
      </c>
      <c r="C1974">
        <v>16</v>
      </c>
      <c r="D1974">
        <v>12</v>
      </c>
      <c r="E1974">
        <v>12</v>
      </c>
      <c r="F1974">
        <v>0</v>
      </c>
      <c r="G1974">
        <v>0</v>
      </c>
    </row>
    <row r="1975" spans="1:12" x14ac:dyDescent="0.25">
      <c r="A1975" s="3" t="s">
        <v>161</v>
      </c>
      <c r="B1975" s="3" t="s">
        <v>10</v>
      </c>
      <c r="C1975" s="3">
        <v>5</v>
      </c>
      <c r="D1975" s="3">
        <v>0</v>
      </c>
      <c r="E1975" s="3">
        <v>0</v>
      </c>
      <c r="F1975" s="3">
        <v>0</v>
      </c>
      <c r="G1975" s="3">
        <v>0</v>
      </c>
    </row>
    <row r="1976" spans="1:12" x14ac:dyDescent="0.25">
      <c r="A1976" t="s">
        <v>157</v>
      </c>
      <c r="B1976" t="s">
        <v>2</v>
      </c>
      <c r="C1976">
        <v>3</v>
      </c>
      <c r="D1976">
        <v>3</v>
      </c>
      <c r="E1976">
        <v>3</v>
      </c>
      <c r="F1976">
        <v>0</v>
      </c>
      <c r="G1976">
        <v>0</v>
      </c>
    </row>
    <row r="1977" spans="1:12" x14ac:dyDescent="0.25">
      <c r="A1977" s="3" t="s">
        <v>157</v>
      </c>
      <c r="B1977" s="3" t="s">
        <v>2</v>
      </c>
      <c r="C1977" s="3">
        <v>3</v>
      </c>
      <c r="D1977" s="3">
        <v>2</v>
      </c>
      <c r="E1977" s="3">
        <v>2</v>
      </c>
      <c r="F1977" s="3">
        <v>0</v>
      </c>
      <c r="G1977" s="3">
        <v>0</v>
      </c>
    </row>
    <row r="1978" spans="1:12" x14ac:dyDescent="0.25">
      <c r="A1978" s="3" t="s">
        <v>157</v>
      </c>
      <c r="B1978" s="3" t="s">
        <v>4</v>
      </c>
      <c r="C1978" s="3">
        <v>1</v>
      </c>
      <c r="D1978" s="3">
        <v>0</v>
      </c>
      <c r="E1978" s="3">
        <v>0</v>
      </c>
      <c r="F1978" s="3">
        <v>0</v>
      </c>
      <c r="G1978" s="3">
        <v>0</v>
      </c>
      <c r="I1978">
        <v>1226</v>
      </c>
      <c r="J1978">
        <v>1167</v>
      </c>
      <c r="K1978">
        <v>867</v>
      </c>
      <c r="L1978">
        <v>2</v>
      </c>
    </row>
    <row r="1979" spans="1:12" x14ac:dyDescent="0.25">
      <c r="A1979" t="s">
        <v>157</v>
      </c>
      <c r="B1979" t="s">
        <v>5</v>
      </c>
      <c r="C1979">
        <v>13</v>
      </c>
      <c r="D1979">
        <v>13</v>
      </c>
      <c r="E1979">
        <v>13</v>
      </c>
      <c r="F1979">
        <v>0</v>
      </c>
      <c r="G1979">
        <v>0</v>
      </c>
      <c r="I1979">
        <v>870</v>
      </c>
      <c r="J1979">
        <v>854</v>
      </c>
      <c r="K1979">
        <v>617</v>
      </c>
      <c r="L1979">
        <v>0</v>
      </c>
    </row>
    <row r="1980" spans="1:12" x14ac:dyDescent="0.25">
      <c r="A1980" s="3" t="s">
        <v>157</v>
      </c>
      <c r="B1980" s="3" t="s">
        <v>5</v>
      </c>
      <c r="C1980" s="3">
        <v>13</v>
      </c>
      <c r="D1980" s="3">
        <v>12</v>
      </c>
      <c r="E1980" s="3">
        <v>12</v>
      </c>
      <c r="F1980" s="3">
        <v>0</v>
      </c>
      <c r="G1980" s="3">
        <v>0</v>
      </c>
    </row>
    <row r="1981" spans="1:12" x14ac:dyDescent="0.25">
      <c r="A1981" t="s">
        <v>157</v>
      </c>
      <c r="B1981" t="s">
        <v>185</v>
      </c>
      <c r="C1981">
        <f>42+7</f>
        <v>49</v>
      </c>
      <c r="D1981">
        <f>42+7</f>
        <v>49</v>
      </c>
      <c r="E1981">
        <f>38+8</f>
        <v>46</v>
      </c>
      <c r="F1981">
        <f>11-9+1</f>
        <v>3</v>
      </c>
      <c r="G1981">
        <v>0</v>
      </c>
    </row>
    <row r="1982" spans="1:12" x14ac:dyDescent="0.25">
      <c r="A1982" s="3" t="s">
        <v>157</v>
      </c>
      <c r="B1982" s="3" t="s">
        <v>185</v>
      </c>
      <c r="C1982" s="3">
        <v>45</v>
      </c>
      <c r="D1982" s="3">
        <v>45</v>
      </c>
      <c r="E1982" s="3">
        <v>37</v>
      </c>
      <c r="F1982" s="3">
        <v>8</v>
      </c>
      <c r="G1982" s="3">
        <v>0</v>
      </c>
    </row>
    <row r="1983" spans="1:12" x14ac:dyDescent="0.25">
      <c r="A1983" t="s">
        <v>157</v>
      </c>
      <c r="B1983" t="s">
        <v>186</v>
      </c>
      <c r="C1983">
        <f>67+1</f>
        <v>68</v>
      </c>
      <c r="D1983">
        <f>64+1</f>
        <v>65</v>
      </c>
      <c r="E1983">
        <f>54+6</f>
        <v>60</v>
      </c>
      <c r="F1983">
        <f>11-7+1</f>
        <v>5</v>
      </c>
      <c r="G1983">
        <v>0</v>
      </c>
    </row>
    <row r="1984" spans="1:12" x14ac:dyDescent="0.25">
      <c r="A1984" s="3" t="s">
        <v>157</v>
      </c>
      <c r="B1984" s="3" t="s">
        <v>186</v>
      </c>
      <c r="C1984" s="3">
        <v>52</v>
      </c>
      <c r="D1984" s="3">
        <v>51</v>
      </c>
      <c r="E1984" s="3">
        <v>48</v>
      </c>
      <c r="F1984" s="3">
        <v>3</v>
      </c>
      <c r="G1984" s="3">
        <v>1</v>
      </c>
    </row>
    <row r="1985" spans="1:7" x14ac:dyDescent="0.25">
      <c r="A1985" t="s">
        <v>157</v>
      </c>
      <c r="B1985" t="s">
        <v>187</v>
      </c>
      <c r="C1985">
        <v>31</v>
      </c>
      <c r="D1985">
        <v>31</v>
      </c>
      <c r="E1985">
        <f>22+5</f>
        <v>27</v>
      </c>
      <c r="F1985">
        <f>9-7+2</f>
        <v>4</v>
      </c>
      <c r="G1985">
        <v>0</v>
      </c>
    </row>
    <row r="1986" spans="1:7" x14ac:dyDescent="0.25">
      <c r="A1986" s="3" t="s">
        <v>157</v>
      </c>
      <c r="B1986" s="3" t="s">
        <v>187</v>
      </c>
      <c r="C1986" s="3">
        <v>28</v>
      </c>
      <c r="D1986" s="3">
        <v>28</v>
      </c>
      <c r="E1986" s="3">
        <v>23</v>
      </c>
      <c r="F1986" s="3">
        <v>5</v>
      </c>
      <c r="G1986" s="3">
        <v>0</v>
      </c>
    </row>
    <row r="1987" spans="1:7" x14ac:dyDescent="0.25">
      <c r="A1987" t="s">
        <v>157</v>
      </c>
      <c r="B1987" t="s">
        <v>6</v>
      </c>
      <c r="C1987">
        <v>2</v>
      </c>
      <c r="D1987">
        <v>2</v>
      </c>
      <c r="E1987">
        <v>2</v>
      </c>
      <c r="F1987">
        <v>0</v>
      </c>
      <c r="G1987">
        <v>0</v>
      </c>
    </row>
    <row r="1988" spans="1:7" x14ac:dyDescent="0.25">
      <c r="A1988" s="3" t="s">
        <v>157</v>
      </c>
      <c r="B1988" s="3" t="s">
        <v>6</v>
      </c>
      <c r="C1988" s="3">
        <v>8</v>
      </c>
      <c r="D1988" s="3">
        <v>8</v>
      </c>
      <c r="E1988" s="3">
        <v>7</v>
      </c>
      <c r="F1988" s="3">
        <v>1</v>
      </c>
      <c r="G1988" s="3">
        <v>0</v>
      </c>
    </row>
    <row r="1989" spans="1:7" x14ac:dyDescent="0.25">
      <c r="A1989" t="s">
        <v>157</v>
      </c>
      <c r="B1989" t="s">
        <v>7</v>
      </c>
      <c r="C1989">
        <v>6</v>
      </c>
      <c r="D1989">
        <v>6</v>
      </c>
      <c r="E1989">
        <v>6</v>
      </c>
      <c r="F1989">
        <v>0</v>
      </c>
      <c r="G1989">
        <v>0</v>
      </c>
    </row>
    <row r="1990" spans="1:7" x14ac:dyDescent="0.25">
      <c r="A1990" s="3" t="s">
        <v>157</v>
      </c>
      <c r="B1990" s="3" t="s">
        <v>7</v>
      </c>
      <c r="C1990" s="3">
        <v>4</v>
      </c>
      <c r="D1990" s="3">
        <v>4</v>
      </c>
      <c r="E1990" s="3">
        <v>4</v>
      </c>
      <c r="F1990" s="3">
        <v>0</v>
      </c>
      <c r="G1990" s="3">
        <v>0</v>
      </c>
    </row>
    <row r="1991" spans="1:7" x14ac:dyDescent="0.25">
      <c r="A1991" t="s">
        <v>157</v>
      </c>
      <c r="B1991" t="s">
        <v>8</v>
      </c>
      <c r="C1991">
        <v>12</v>
      </c>
      <c r="D1991">
        <v>12</v>
      </c>
      <c r="E1991">
        <v>12</v>
      </c>
      <c r="F1991">
        <v>0</v>
      </c>
      <c r="G1991">
        <v>0</v>
      </c>
    </row>
    <row r="1992" spans="1:7" x14ac:dyDescent="0.25">
      <c r="A1992" s="3" t="s">
        <v>157</v>
      </c>
      <c r="B1992" s="3" t="s">
        <v>8</v>
      </c>
      <c r="C1992" s="3">
        <v>18</v>
      </c>
      <c r="D1992" s="3">
        <v>18</v>
      </c>
      <c r="E1992" s="3">
        <v>15</v>
      </c>
      <c r="F1992" s="3">
        <v>3</v>
      </c>
      <c r="G1992" s="3">
        <v>0</v>
      </c>
    </row>
    <row r="1993" spans="1:7" x14ac:dyDescent="0.25">
      <c r="A1993" t="s">
        <v>157</v>
      </c>
      <c r="B1993" t="s">
        <v>9</v>
      </c>
      <c r="C1993">
        <v>12</v>
      </c>
      <c r="D1993">
        <v>12</v>
      </c>
      <c r="E1993">
        <v>12</v>
      </c>
      <c r="F1993">
        <v>0</v>
      </c>
      <c r="G1993">
        <v>0</v>
      </c>
    </row>
    <row r="1994" spans="1:7" x14ac:dyDescent="0.25">
      <c r="A1994" s="3" t="s">
        <v>157</v>
      </c>
      <c r="B1994" s="3" t="s">
        <v>9</v>
      </c>
      <c r="C1994" s="3">
        <v>11</v>
      </c>
      <c r="D1994" s="3">
        <v>11</v>
      </c>
      <c r="E1994" s="3">
        <v>10</v>
      </c>
      <c r="F1994" s="3">
        <v>1</v>
      </c>
      <c r="G1994" s="3">
        <v>0</v>
      </c>
    </row>
    <row r="1995" spans="1:7" x14ac:dyDescent="0.25">
      <c r="A1995" t="s">
        <v>157</v>
      </c>
      <c r="B1995" t="s">
        <v>10</v>
      </c>
      <c r="C1995">
        <v>45</v>
      </c>
      <c r="D1995">
        <v>45</v>
      </c>
      <c r="E1995">
        <v>42</v>
      </c>
      <c r="F1995">
        <v>3</v>
      </c>
      <c r="G1995">
        <v>0</v>
      </c>
    </row>
    <row r="1996" spans="1:7" x14ac:dyDescent="0.25">
      <c r="A1996" s="3" t="s">
        <v>157</v>
      </c>
      <c r="B1996" s="3" t="s">
        <v>10</v>
      </c>
      <c r="C1996" s="3">
        <v>47</v>
      </c>
      <c r="D1996" s="3">
        <v>47</v>
      </c>
      <c r="E1996" s="3">
        <v>42</v>
      </c>
      <c r="F1996" s="3">
        <v>5</v>
      </c>
      <c r="G1996" s="3">
        <v>0</v>
      </c>
    </row>
    <row r="1997" spans="1:7" x14ac:dyDescent="0.25">
      <c r="A1997" t="s">
        <v>157</v>
      </c>
      <c r="B1997" t="s">
        <v>177</v>
      </c>
      <c r="C1997">
        <v>12</v>
      </c>
      <c r="D1997">
        <v>12</v>
      </c>
      <c r="E1997">
        <v>12</v>
      </c>
      <c r="F1997">
        <v>0</v>
      </c>
      <c r="G1997">
        <v>0</v>
      </c>
    </row>
    <row r="1998" spans="1:7" x14ac:dyDescent="0.25">
      <c r="A1998" s="3" t="s">
        <v>157</v>
      </c>
      <c r="B1998" s="3" t="s">
        <v>177</v>
      </c>
      <c r="C1998" s="3">
        <v>10</v>
      </c>
      <c r="D1998" s="3">
        <v>10</v>
      </c>
      <c r="E1998" s="3">
        <v>10</v>
      </c>
      <c r="F1998" s="3">
        <v>0</v>
      </c>
      <c r="G1998" s="3">
        <v>0</v>
      </c>
    </row>
    <row r="1999" spans="1:7" x14ac:dyDescent="0.25">
      <c r="A1999" t="s">
        <v>59</v>
      </c>
      <c r="B1999" t="s">
        <v>2</v>
      </c>
      <c r="C1999">
        <v>6</v>
      </c>
      <c r="D1999">
        <v>5</v>
      </c>
      <c r="E1999">
        <v>4</v>
      </c>
      <c r="F1999">
        <v>1</v>
      </c>
      <c r="G1999">
        <v>0</v>
      </c>
    </row>
    <row r="2000" spans="1:7" x14ac:dyDescent="0.25">
      <c r="A2000" s="3" t="s">
        <v>59</v>
      </c>
      <c r="B2000" s="3" t="s">
        <v>2</v>
      </c>
      <c r="C2000" s="3">
        <v>7</v>
      </c>
      <c r="D2000" s="3">
        <v>7</v>
      </c>
      <c r="E2000" s="3">
        <v>7</v>
      </c>
      <c r="F2000" s="3">
        <v>0</v>
      </c>
      <c r="G2000" s="3">
        <v>0</v>
      </c>
    </row>
    <row r="2001" spans="1:12" x14ac:dyDescent="0.25">
      <c r="A2001" t="s">
        <v>59</v>
      </c>
      <c r="B2001" t="s">
        <v>5</v>
      </c>
      <c r="C2001">
        <v>88</v>
      </c>
      <c r="D2001">
        <v>87</v>
      </c>
      <c r="E2001">
        <f>73+14</f>
        <v>87</v>
      </c>
      <c r="F2001">
        <f>14-14+0</f>
        <v>0</v>
      </c>
      <c r="G2001">
        <v>0</v>
      </c>
    </row>
    <row r="2002" spans="1:12" x14ac:dyDescent="0.25">
      <c r="A2002" s="3" t="s">
        <v>59</v>
      </c>
      <c r="B2002" s="3" t="s">
        <v>5</v>
      </c>
      <c r="C2002" s="3">
        <v>53</v>
      </c>
      <c r="D2002" s="3">
        <v>52</v>
      </c>
      <c r="E2002" s="3">
        <v>50</v>
      </c>
      <c r="F2002" s="3">
        <v>2</v>
      </c>
      <c r="G2002" s="3">
        <v>0</v>
      </c>
      <c r="I2002">
        <v>1451</v>
      </c>
      <c r="J2002">
        <v>1433</v>
      </c>
      <c r="K2002">
        <v>1144</v>
      </c>
      <c r="L2002">
        <v>2</v>
      </c>
    </row>
    <row r="2003" spans="1:12" x14ac:dyDescent="0.25">
      <c r="A2003" t="s">
        <v>59</v>
      </c>
      <c r="B2003" t="s">
        <v>185</v>
      </c>
      <c r="C2003">
        <f>87+7</f>
        <v>94</v>
      </c>
      <c r="D2003">
        <f>84+7</f>
        <v>91</v>
      </c>
      <c r="E2003">
        <f>61+17</f>
        <v>78</v>
      </c>
      <c r="F2003">
        <f>30-19+2</f>
        <v>13</v>
      </c>
      <c r="G2003">
        <v>0</v>
      </c>
    </row>
    <row r="2004" spans="1:12" x14ac:dyDescent="0.25">
      <c r="A2004" s="3" t="s">
        <v>59</v>
      </c>
      <c r="B2004" s="3" t="s">
        <v>185</v>
      </c>
      <c r="C2004" s="3">
        <v>50</v>
      </c>
      <c r="D2004" s="3">
        <v>50</v>
      </c>
      <c r="E2004" s="3">
        <v>40</v>
      </c>
      <c r="F2004" s="3">
        <v>10</v>
      </c>
      <c r="G2004" s="3">
        <v>0</v>
      </c>
    </row>
    <row r="2005" spans="1:12" x14ac:dyDescent="0.25">
      <c r="A2005" t="s">
        <v>59</v>
      </c>
      <c r="B2005" t="s">
        <v>186</v>
      </c>
      <c r="C2005">
        <f>135+10</f>
        <v>145</v>
      </c>
      <c r="D2005">
        <v>116</v>
      </c>
      <c r="E2005">
        <f>96+14</f>
        <v>110</v>
      </c>
      <c r="F2005">
        <f>22-20+4</f>
        <v>6</v>
      </c>
      <c r="G2005">
        <v>0</v>
      </c>
    </row>
    <row r="2006" spans="1:12" x14ac:dyDescent="0.25">
      <c r="A2006" s="3" t="s">
        <v>59</v>
      </c>
      <c r="B2006" s="3" t="s">
        <v>186</v>
      </c>
      <c r="C2006" s="3">
        <v>83</v>
      </c>
      <c r="D2006" s="3">
        <v>62</v>
      </c>
      <c r="E2006" s="3">
        <v>60</v>
      </c>
      <c r="F2006" s="3">
        <v>2</v>
      </c>
      <c r="G2006" s="3">
        <v>0</v>
      </c>
    </row>
    <row r="2007" spans="1:12" x14ac:dyDescent="0.25">
      <c r="A2007" t="s">
        <v>59</v>
      </c>
      <c r="B2007" t="s">
        <v>187</v>
      </c>
      <c r="C2007">
        <f>147+3</f>
        <v>150</v>
      </c>
      <c r="D2007">
        <f>145+3</f>
        <v>148</v>
      </c>
      <c r="E2007">
        <f>120+18</f>
        <v>138</v>
      </c>
      <c r="F2007">
        <f>28-21+3</f>
        <v>10</v>
      </c>
      <c r="G2007">
        <v>0</v>
      </c>
    </row>
    <row r="2008" spans="1:12" x14ac:dyDescent="0.25">
      <c r="A2008" s="3" t="s">
        <v>59</v>
      </c>
      <c r="B2008" s="3" t="s">
        <v>187</v>
      </c>
      <c r="C2008" s="3">
        <v>69</v>
      </c>
      <c r="D2008" s="3">
        <v>65</v>
      </c>
      <c r="E2008" s="3">
        <v>61</v>
      </c>
      <c r="F2008" s="3">
        <v>4</v>
      </c>
      <c r="G2008" s="3">
        <v>0</v>
      </c>
    </row>
    <row r="2009" spans="1:12" x14ac:dyDescent="0.25">
      <c r="A2009" t="s">
        <v>59</v>
      </c>
      <c r="B2009" t="s">
        <v>6</v>
      </c>
      <c r="C2009">
        <v>97</v>
      </c>
      <c r="D2009">
        <v>97</v>
      </c>
      <c r="E2009">
        <v>97</v>
      </c>
      <c r="F2009">
        <v>0</v>
      </c>
      <c r="G2009">
        <v>0</v>
      </c>
    </row>
    <row r="2010" spans="1:12" x14ac:dyDescent="0.25">
      <c r="A2010" s="3" t="s">
        <v>59</v>
      </c>
      <c r="B2010" s="3" t="s">
        <v>6</v>
      </c>
      <c r="C2010" s="3">
        <v>23</v>
      </c>
      <c r="D2010" s="3">
        <v>23</v>
      </c>
      <c r="E2010" s="3">
        <v>23</v>
      </c>
      <c r="F2010" s="3">
        <v>0</v>
      </c>
      <c r="G2010" s="3">
        <v>0</v>
      </c>
    </row>
    <row r="2011" spans="1:12" x14ac:dyDescent="0.25">
      <c r="A2011" t="s">
        <v>59</v>
      </c>
      <c r="B2011" t="s">
        <v>8</v>
      </c>
      <c r="C2011">
        <v>30</v>
      </c>
      <c r="D2011">
        <v>28</v>
      </c>
      <c r="E2011">
        <v>19</v>
      </c>
      <c r="F2011">
        <v>9</v>
      </c>
      <c r="G2011">
        <v>0</v>
      </c>
    </row>
    <row r="2012" spans="1:12" x14ac:dyDescent="0.25">
      <c r="A2012" s="3" t="s">
        <v>59</v>
      </c>
      <c r="B2012" s="3" t="s">
        <v>8</v>
      </c>
      <c r="C2012" s="3">
        <v>20</v>
      </c>
      <c r="D2012" s="3">
        <v>12</v>
      </c>
      <c r="E2012" s="3">
        <v>7</v>
      </c>
      <c r="F2012" s="3">
        <v>5</v>
      </c>
      <c r="G2012" s="3">
        <v>0</v>
      </c>
    </row>
    <row r="2013" spans="1:12" x14ac:dyDescent="0.25">
      <c r="A2013" t="s">
        <v>59</v>
      </c>
      <c r="B2013" t="s">
        <v>9</v>
      </c>
      <c r="C2013">
        <v>19</v>
      </c>
      <c r="D2013">
        <v>19</v>
      </c>
      <c r="E2013">
        <v>16</v>
      </c>
      <c r="F2013">
        <v>3</v>
      </c>
      <c r="G2013">
        <v>0</v>
      </c>
    </row>
    <row r="2014" spans="1:12" x14ac:dyDescent="0.25">
      <c r="A2014" s="3" t="s">
        <v>59</v>
      </c>
      <c r="B2014" s="3" t="s">
        <v>9</v>
      </c>
      <c r="C2014" s="3">
        <v>6</v>
      </c>
      <c r="D2014" s="3">
        <v>5</v>
      </c>
      <c r="E2014" s="3">
        <v>3</v>
      </c>
      <c r="F2014" s="3">
        <v>2</v>
      </c>
      <c r="G2014" s="3">
        <v>0</v>
      </c>
    </row>
    <row r="2015" spans="1:12" x14ac:dyDescent="0.25">
      <c r="A2015" t="s">
        <v>59</v>
      </c>
      <c r="B2015" t="s">
        <v>10</v>
      </c>
      <c r="C2015">
        <v>150</v>
      </c>
      <c r="D2015">
        <v>148</v>
      </c>
      <c r="E2015">
        <v>141</v>
      </c>
      <c r="F2015">
        <v>7</v>
      </c>
      <c r="G2015">
        <v>1</v>
      </c>
    </row>
    <row r="2016" spans="1:12" x14ac:dyDescent="0.25">
      <c r="A2016" s="3" t="s">
        <v>59</v>
      </c>
      <c r="B2016" s="3" t="s">
        <v>10</v>
      </c>
      <c r="C2016" s="3">
        <v>113</v>
      </c>
      <c r="D2016" s="3">
        <v>113</v>
      </c>
      <c r="E2016" s="3">
        <v>102</v>
      </c>
      <c r="F2016" s="3">
        <v>11</v>
      </c>
      <c r="G2016" s="3">
        <v>0</v>
      </c>
    </row>
    <row r="2017" spans="1:7" x14ac:dyDescent="0.25">
      <c r="A2017" t="s">
        <v>59</v>
      </c>
      <c r="B2017" t="s">
        <v>177</v>
      </c>
      <c r="C2017">
        <v>78</v>
      </c>
      <c r="D2017">
        <v>75</v>
      </c>
      <c r="E2017">
        <v>73</v>
      </c>
      <c r="F2017">
        <v>2</v>
      </c>
      <c r="G2017">
        <v>0</v>
      </c>
    </row>
    <row r="2018" spans="1:7" x14ac:dyDescent="0.25">
      <c r="A2018" s="3" t="s">
        <v>59</v>
      </c>
      <c r="B2018" s="3" t="s">
        <v>177</v>
      </c>
      <c r="C2018" s="3">
        <v>49</v>
      </c>
      <c r="D2018" s="3">
        <v>43</v>
      </c>
      <c r="E2018" s="3">
        <v>43</v>
      </c>
      <c r="F2018" s="3">
        <v>0</v>
      </c>
      <c r="G2018" s="3">
        <v>0</v>
      </c>
    </row>
    <row r="2019" spans="1:7" x14ac:dyDescent="0.25">
      <c r="A2019" t="s">
        <v>88</v>
      </c>
      <c r="B2019" t="s">
        <v>2</v>
      </c>
      <c r="C2019">
        <v>4</v>
      </c>
      <c r="D2019">
        <v>3</v>
      </c>
      <c r="E2019">
        <v>3</v>
      </c>
      <c r="F2019">
        <v>0</v>
      </c>
      <c r="G2019">
        <v>0</v>
      </c>
    </row>
    <row r="2020" spans="1:7" x14ac:dyDescent="0.25">
      <c r="A2020" s="3" t="s">
        <v>88</v>
      </c>
      <c r="B2020" s="3" t="s">
        <v>2</v>
      </c>
      <c r="C2020" s="3">
        <v>2</v>
      </c>
      <c r="D2020" s="3">
        <v>2</v>
      </c>
      <c r="E2020" s="3">
        <v>2</v>
      </c>
      <c r="F2020" s="3">
        <v>0</v>
      </c>
      <c r="G2020" s="3">
        <v>0</v>
      </c>
    </row>
    <row r="2021" spans="1:7" x14ac:dyDescent="0.25">
      <c r="A2021" t="s">
        <v>88</v>
      </c>
      <c r="B2021" t="s">
        <v>185</v>
      </c>
      <c r="C2021">
        <f>29+1</f>
        <v>30</v>
      </c>
      <c r="D2021">
        <f>29+1</f>
        <v>30</v>
      </c>
      <c r="E2021">
        <f>28+1</f>
        <v>29</v>
      </c>
      <c r="F2021">
        <v>1</v>
      </c>
      <c r="G2021">
        <v>0</v>
      </c>
    </row>
    <row r="2022" spans="1:7" x14ac:dyDescent="0.25">
      <c r="A2022" s="3" t="s">
        <v>88</v>
      </c>
      <c r="B2022" s="3" t="s">
        <v>185</v>
      </c>
      <c r="C2022" s="3">
        <v>21</v>
      </c>
      <c r="D2022" s="3">
        <v>21</v>
      </c>
      <c r="E2022" s="3">
        <v>19</v>
      </c>
      <c r="F2022" s="3">
        <v>2</v>
      </c>
      <c r="G2022" s="3">
        <v>0</v>
      </c>
    </row>
    <row r="2023" spans="1:7" x14ac:dyDescent="0.25">
      <c r="A2023" t="s">
        <v>88</v>
      </c>
      <c r="B2023" t="s">
        <v>186</v>
      </c>
      <c r="C2023">
        <v>44</v>
      </c>
      <c r="D2023">
        <v>42</v>
      </c>
      <c r="E2023">
        <v>31</v>
      </c>
      <c r="F2023">
        <v>11</v>
      </c>
      <c r="G2023">
        <v>0</v>
      </c>
    </row>
    <row r="2024" spans="1:7" x14ac:dyDescent="0.25">
      <c r="A2024" s="3" t="s">
        <v>88</v>
      </c>
      <c r="B2024" s="3" t="s">
        <v>186</v>
      </c>
      <c r="C2024" s="3">
        <v>28</v>
      </c>
      <c r="D2024" s="3">
        <v>26</v>
      </c>
      <c r="E2024" s="3">
        <f>24+1</f>
        <v>25</v>
      </c>
      <c r="F2024" s="3">
        <f>2-1+0</f>
        <v>1</v>
      </c>
      <c r="G2024" s="3">
        <v>0</v>
      </c>
    </row>
    <row r="2025" spans="1:7" x14ac:dyDescent="0.25">
      <c r="A2025" t="s">
        <v>88</v>
      </c>
      <c r="B2025" t="s">
        <v>189</v>
      </c>
      <c r="C2025">
        <v>1</v>
      </c>
      <c r="D2025">
        <v>1</v>
      </c>
      <c r="E2025">
        <v>1</v>
      </c>
      <c r="F2025">
        <v>0</v>
      </c>
      <c r="G2025">
        <v>0</v>
      </c>
    </row>
    <row r="2026" spans="1:7" x14ac:dyDescent="0.25">
      <c r="A2026" t="s">
        <v>88</v>
      </c>
      <c r="B2026" t="s">
        <v>187</v>
      </c>
      <c r="C2026">
        <f>62+3</f>
        <v>65</v>
      </c>
      <c r="D2026">
        <f>60+3</f>
        <v>63</v>
      </c>
      <c r="E2026">
        <f>49+3</f>
        <v>52</v>
      </c>
      <c r="F2026">
        <v>11</v>
      </c>
      <c r="G2026">
        <v>0</v>
      </c>
    </row>
    <row r="2027" spans="1:7" x14ac:dyDescent="0.25">
      <c r="A2027" s="3" t="s">
        <v>88</v>
      </c>
      <c r="B2027" s="3" t="s">
        <v>187</v>
      </c>
      <c r="C2027" s="3">
        <v>57</v>
      </c>
      <c r="D2027" s="3">
        <v>57</v>
      </c>
      <c r="E2027" s="3">
        <f>52+3</f>
        <v>55</v>
      </c>
      <c r="F2027" s="3">
        <f>5-4+1</f>
        <v>2</v>
      </c>
      <c r="G2027" s="3">
        <v>0</v>
      </c>
    </row>
    <row r="2028" spans="1:7" x14ac:dyDescent="0.25">
      <c r="A2028" t="s">
        <v>88</v>
      </c>
      <c r="B2028" t="s">
        <v>6</v>
      </c>
      <c r="C2028">
        <v>18</v>
      </c>
      <c r="D2028">
        <v>16</v>
      </c>
      <c r="E2028">
        <v>16</v>
      </c>
      <c r="F2028">
        <v>0</v>
      </c>
      <c r="G2028">
        <v>0</v>
      </c>
    </row>
    <row r="2029" spans="1:7" x14ac:dyDescent="0.25">
      <c r="A2029" s="3" t="s">
        <v>88</v>
      </c>
      <c r="B2029" s="3" t="s">
        <v>6</v>
      </c>
      <c r="C2029" s="3">
        <v>24</v>
      </c>
      <c r="D2029" s="3">
        <v>22</v>
      </c>
      <c r="E2029" s="3">
        <v>22</v>
      </c>
      <c r="F2029" s="3">
        <v>0</v>
      </c>
      <c r="G2029" s="3">
        <v>0</v>
      </c>
    </row>
    <row r="2030" spans="1:7" x14ac:dyDescent="0.25">
      <c r="A2030" t="s">
        <v>88</v>
      </c>
      <c r="B2030" t="s">
        <v>7</v>
      </c>
      <c r="C2030">
        <v>8</v>
      </c>
      <c r="D2030">
        <v>6</v>
      </c>
      <c r="E2030">
        <v>6</v>
      </c>
      <c r="F2030">
        <v>0</v>
      </c>
      <c r="G2030">
        <v>0</v>
      </c>
    </row>
    <row r="2031" spans="1:7" x14ac:dyDescent="0.25">
      <c r="A2031" t="s">
        <v>88</v>
      </c>
      <c r="B2031" t="s">
        <v>8</v>
      </c>
      <c r="C2031">
        <v>5</v>
      </c>
      <c r="D2031">
        <v>5</v>
      </c>
      <c r="E2031">
        <v>4</v>
      </c>
      <c r="F2031">
        <v>1</v>
      </c>
      <c r="G2031">
        <v>0</v>
      </c>
    </row>
    <row r="2032" spans="1:7" x14ac:dyDescent="0.25">
      <c r="A2032" t="s">
        <v>88</v>
      </c>
      <c r="B2032" t="s">
        <v>9</v>
      </c>
      <c r="C2032">
        <v>4</v>
      </c>
      <c r="D2032">
        <v>4</v>
      </c>
      <c r="E2032">
        <v>3</v>
      </c>
      <c r="F2032">
        <v>1</v>
      </c>
      <c r="G2032">
        <v>0</v>
      </c>
    </row>
    <row r="2033" spans="1:7" x14ac:dyDescent="0.25">
      <c r="A2033" t="s">
        <v>88</v>
      </c>
      <c r="B2033" t="s">
        <v>10</v>
      </c>
      <c r="C2033">
        <v>22</v>
      </c>
      <c r="D2033">
        <v>22</v>
      </c>
      <c r="E2033">
        <v>20</v>
      </c>
      <c r="F2033">
        <v>2</v>
      </c>
      <c r="G2033">
        <v>0</v>
      </c>
    </row>
    <row r="2034" spans="1:7" x14ac:dyDescent="0.25">
      <c r="A2034" s="3" t="s">
        <v>88</v>
      </c>
      <c r="B2034" s="3" t="s">
        <v>10</v>
      </c>
      <c r="C2034" s="3">
        <v>6</v>
      </c>
      <c r="D2034" s="3">
        <v>6</v>
      </c>
      <c r="E2034" s="3">
        <v>6</v>
      </c>
      <c r="F2034" s="3">
        <v>0</v>
      </c>
      <c r="G2034" s="3">
        <v>0</v>
      </c>
    </row>
    <row r="2035" spans="1:7" x14ac:dyDescent="0.25">
      <c r="A2035" t="s">
        <v>23</v>
      </c>
      <c r="B2035" t="s">
        <v>2</v>
      </c>
      <c r="C2035">
        <v>23</v>
      </c>
      <c r="D2035">
        <v>22</v>
      </c>
      <c r="E2035">
        <v>9</v>
      </c>
      <c r="F2035">
        <v>13</v>
      </c>
      <c r="G2035">
        <v>0</v>
      </c>
    </row>
    <row r="2036" spans="1:7" x14ac:dyDescent="0.25">
      <c r="A2036" s="3" t="s">
        <v>23</v>
      </c>
      <c r="B2036" s="3" t="s">
        <v>2</v>
      </c>
      <c r="C2036" s="3">
        <v>18</v>
      </c>
      <c r="D2036" s="3">
        <v>16</v>
      </c>
      <c r="E2036" s="3">
        <f>12+1</f>
        <v>13</v>
      </c>
      <c r="F2036" s="3">
        <f>5-5+3</f>
        <v>3</v>
      </c>
      <c r="G2036" s="3">
        <v>0</v>
      </c>
    </row>
    <row r="2037" spans="1:7" x14ac:dyDescent="0.25">
      <c r="A2037" t="s">
        <v>23</v>
      </c>
      <c r="B2037" t="s">
        <v>4</v>
      </c>
      <c r="C2037">
        <v>2</v>
      </c>
      <c r="D2037">
        <v>0</v>
      </c>
      <c r="E2037">
        <v>0</v>
      </c>
      <c r="F2037">
        <v>0</v>
      </c>
      <c r="G2037">
        <v>0</v>
      </c>
    </row>
    <row r="2038" spans="1:7" x14ac:dyDescent="0.25">
      <c r="A2038" t="s">
        <v>23</v>
      </c>
      <c r="B2038" t="s">
        <v>5</v>
      </c>
      <c r="C2038">
        <v>28</v>
      </c>
      <c r="D2038">
        <v>26</v>
      </c>
      <c r="E2038">
        <f>11+8</f>
        <v>19</v>
      </c>
      <c r="F2038">
        <f>15-14+6</f>
        <v>7</v>
      </c>
      <c r="G2038">
        <v>0</v>
      </c>
    </row>
    <row r="2039" spans="1:7" x14ac:dyDescent="0.25">
      <c r="A2039" s="3" t="s">
        <v>23</v>
      </c>
      <c r="B2039" s="3" t="s">
        <v>5</v>
      </c>
      <c r="C2039" s="3">
        <v>22</v>
      </c>
      <c r="D2039" s="3">
        <v>21</v>
      </c>
      <c r="E2039" s="3">
        <v>18</v>
      </c>
      <c r="F2039" s="3">
        <v>3</v>
      </c>
      <c r="G2039" s="3">
        <v>0</v>
      </c>
    </row>
    <row r="2040" spans="1:7" x14ac:dyDescent="0.25">
      <c r="A2040" t="s">
        <v>23</v>
      </c>
      <c r="B2040" t="s">
        <v>185</v>
      </c>
      <c r="C2040">
        <f>43+6</f>
        <v>49</v>
      </c>
      <c r="D2040">
        <f>41+5</f>
        <v>46</v>
      </c>
      <c r="E2040">
        <f>14+24</f>
        <v>38</v>
      </c>
      <c r="F2040">
        <f>32-30+6</f>
        <v>8</v>
      </c>
      <c r="G2040">
        <v>0</v>
      </c>
    </row>
    <row r="2041" spans="1:7" x14ac:dyDescent="0.25">
      <c r="A2041" s="3" t="s">
        <v>23</v>
      </c>
      <c r="B2041" s="3" t="s">
        <v>185</v>
      </c>
      <c r="C2041" s="3">
        <v>45</v>
      </c>
      <c r="D2041" s="3">
        <v>44</v>
      </c>
      <c r="E2041" s="3">
        <v>32</v>
      </c>
      <c r="F2041" s="3">
        <v>12</v>
      </c>
      <c r="G2041" s="3">
        <v>0</v>
      </c>
    </row>
    <row r="2042" spans="1:7" x14ac:dyDescent="0.25">
      <c r="A2042" t="s">
        <v>23</v>
      </c>
      <c r="B2042" t="s">
        <v>186</v>
      </c>
      <c r="C2042">
        <f>74+3</f>
        <v>77</v>
      </c>
      <c r="D2042">
        <v>71</v>
      </c>
      <c r="E2042">
        <f>46+9</f>
        <v>55</v>
      </c>
      <c r="F2042">
        <f>26-11+1</f>
        <v>16</v>
      </c>
      <c r="G2042">
        <v>1</v>
      </c>
    </row>
    <row r="2043" spans="1:7" x14ac:dyDescent="0.25">
      <c r="A2043" s="3" t="s">
        <v>23</v>
      </c>
      <c r="B2043" s="3" t="s">
        <v>186</v>
      </c>
      <c r="C2043" s="3">
        <v>68</v>
      </c>
      <c r="D2043" s="3">
        <v>63</v>
      </c>
      <c r="E2043" s="3">
        <v>55</v>
      </c>
      <c r="F2043" s="3">
        <v>8</v>
      </c>
      <c r="G2043" s="3">
        <v>0</v>
      </c>
    </row>
    <row r="2044" spans="1:7" x14ac:dyDescent="0.25">
      <c r="A2044" t="s">
        <v>23</v>
      </c>
      <c r="B2044" t="s">
        <v>187</v>
      </c>
      <c r="C2044">
        <v>59</v>
      </c>
      <c r="D2044">
        <v>54</v>
      </c>
      <c r="E2044">
        <f>31+9</f>
        <v>40</v>
      </c>
      <c r="F2044">
        <f>23-12+3</f>
        <v>14</v>
      </c>
      <c r="G2044">
        <v>0</v>
      </c>
    </row>
    <row r="2045" spans="1:7" x14ac:dyDescent="0.25">
      <c r="A2045" s="3" t="s">
        <v>23</v>
      </c>
      <c r="B2045" s="3" t="s">
        <v>187</v>
      </c>
      <c r="C2045" s="3">
        <v>33</v>
      </c>
      <c r="D2045" s="3">
        <v>32</v>
      </c>
      <c r="E2045" s="3">
        <v>24</v>
      </c>
      <c r="F2045" s="3">
        <v>8</v>
      </c>
      <c r="G2045" s="3">
        <v>0</v>
      </c>
    </row>
    <row r="2046" spans="1:7" x14ac:dyDescent="0.25">
      <c r="A2046" t="s">
        <v>23</v>
      </c>
      <c r="B2046" t="s">
        <v>6</v>
      </c>
      <c r="C2046">
        <v>62</v>
      </c>
      <c r="D2046">
        <v>60</v>
      </c>
      <c r="E2046">
        <v>60</v>
      </c>
      <c r="F2046">
        <v>0</v>
      </c>
      <c r="G2046">
        <v>0</v>
      </c>
    </row>
    <row r="2047" spans="1:7" x14ac:dyDescent="0.25">
      <c r="A2047" s="3" t="s">
        <v>23</v>
      </c>
      <c r="B2047" s="3" t="s">
        <v>6</v>
      </c>
      <c r="C2047" s="3">
        <v>25</v>
      </c>
      <c r="D2047" s="3">
        <v>22</v>
      </c>
      <c r="E2047" s="3">
        <v>22</v>
      </c>
      <c r="F2047" s="3">
        <v>0</v>
      </c>
      <c r="G2047" s="3">
        <v>0</v>
      </c>
    </row>
    <row r="2048" spans="1:7" x14ac:dyDescent="0.25">
      <c r="A2048" t="s">
        <v>23</v>
      </c>
      <c r="B2048" t="s">
        <v>7</v>
      </c>
      <c r="C2048">
        <v>11</v>
      </c>
      <c r="D2048">
        <v>10</v>
      </c>
      <c r="E2048">
        <v>7</v>
      </c>
      <c r="F2048">
        <v>3</v>
      </c>
      <c r="G2048">
        <v>0</v>
      </c>
    </row>
    <row r="2049" spans="1:7" x14ac:dyDescent="0.25">
      <c r="A2049" s="3" t="s">
        <v>23</v>
      </c>
      <c r="B2049" s="3" t="s">
        <v>7</v>
      </c>
      <c r="C2049" s="3">
        <v>8</v>
      </c>
      <c r="D2049" s="3">
        <v>8</v>
      </c>
      <c r="E2049" s="3">
        <v>6</v>
      </c>
      <c r="F2049" s="3">
        <v>2</v>
      </c>
      <c r="G2049" s="3">
        <v>0</v>
      </c>
    </row>
    <row r="2050" spans="1:7" x14ac:dyDescent="0.25">
      <c r="A2050" t="s">
        <v>23</v>
      </c>
      <c r="B2050" t="s">
        <v>8</v>
      </c>
      <c r="C2050">
        <v>39</v>
      </c>
      <c r="D2050">
        <v>38</v>
      </c>
      <c r="E2050">
        <v>20</v>
      </c>
      <c r="F2050">
        <v>18</v>
      </c>
      <c r="G2050">
        <v>0</v>
      </c>
    </row>
    <row r="2051" spans="1:7" x14ac:dyDescent="0.25">
      <c r="A2051" s="3" t="s">
        <v>23</v>
      </c>
      <c r="B2051" s="3" t="s">
        <v>8</v>
      </c>
      <c r="C2051" s="3">
        <v>24</v>
      </c>
      <c r="D2051" s="3">
        <v>23</v>
      </c>
      <c r="E2051" s="3">
        <v>15</v>
      </c>
      <c r="F2051" s="3">
        <v>8</v>
      </c>
      <c r="G2051" s="3">
        <v>0</v>
      </c>
    </row>
    <row r="2052" spans="1:7" x14ac:dyDescent="0.25">
      <c r="A2052" t="s">
        <v>23</v>
      </c>
      <c r="B2052" t="s">
        <v>9</v>
      </c>
      <c r="C2052">
        <v>17</v>
      </c>
      <c r="D2052">
        <v>16</v>
      </c>
      <c r="E2052">
        <v>15</v>
      </c>
      <c r="F2052">
        <v>1</v>
      </c>
      <c r="G2052">
        <v>0</v>
      </c>
    </row>
    <row r="2053" spans="1:7" x14ac:dyDescent="0.25">
      <c r="A2053" s="3" t="s">
        <v>23</v>
      </c>
      <c r="B2053" s="3" t="s">
        <v>9</v>
      </c>
      <c r="C2053" s="3">
        <v>24</v>
      </c>
      <c r="D2053" s="3">
        <v>23</v>
      </c>
      <c r="E2053" s="3">
        <v>15</v>
      </c>
      <c r="F2053" s="3">
        <v>8</v>
      </c>
      <c r="G2053" s="3">
        <v>0</v>
      </c>
    </row>
    <row r="2054" spans="1:7" x14ac:dyDescent="0.25">
      <c r="A2054" t="s">
        <v>23</v>
      </c>
      <c r="B2054" t="s">
        <v>10</v>
      </c>
      <c r="C2054">
        <v>48</v>
      </c>
      <c r="D2054">
        <v>48</v>
      </c>
      <c r="E2054">
        <v>36</v>
      </c>
      <c r="F2054">
        <v>12</v>
      </c>
      <c r="G2054">
        <v>0</v>
      </c>
    </row>
    <row r="2055" spans="1:7" x14ac:dyDescent="0.25">
      <c r="A2055" s="3" t="s">
        <v>23</v>
      </c>
      <c r="B2055" s="3" t="s">
        <v>10</v>
      </c>
      <c r="C2055" s="3">
        <v>59</v>
      </c>
      <c r="D2055" s="3">
        <v>59</v>
      </c>
      <c r="E2055" s="3">
        <v>35</v>
      </c>
      <c r="F2055" s="3">
        <v>24</v>
      </c>
      <c r="G2055" s="3">
        <v>0</v>
      </c>
    </row>
    <row r="2056" spans="1:7" x14ac:dyDescent="0.25">
      <c r="A2056" t="s">
        <v>23</v>
      </c>
      <c r="B2056" t="s">
        <v>177</v>
      </c>
      <c r="C2056">
        <v>21</v>
      </c>
      <c r="D2056">
        <v>21</v>
      </c>
      <c r="E2056">
        <v>14</v>
      </c>
      <c r="F2056">
        <v>7</v>
      </c>
      <c r="G2056">
        <v>0</v>
      </c>
    </row>
    <row r="2057" spans="1:7" x14ac:dyDescent="0.25">
      <c r="A2057" s="3" t="s">
        <v>23</v>
      </c>
      <c r="B2057" s="3" t="s">
        <v>177</v>
      </c>
      <c r="C2057" s="3">
        <v>15</v>
      </c>
      <c r="D2057" s="3">
        <v>15</v>
      </c>
      <c r="E2057" s="3">
        <v>10</v>
      </c>
      <c r="F2057" s="3">
        <v>5</v>
      </c>
      <c r="G2057" s="3">
        <v>0</v>
      </c>
    </row>
    <row r="2058" spans="1:7" x14ac:dyDescent="0.25">
      <c r="A2058" t="s">
        <v>84</v>
      </c>
      <c r="B2058" t="s">
        <v>2</v>
      </c>
      <c r="C2058">
        <v>2</v>
      </c>
      <c r="D2058">
        <v>2</v>
      </c>
      <c r="E2058">
        <v>1</v>
      </c>
      <c r="F2058">
        <v>1</v>
      </c>
      <c r="G2058">
        <v>0</v>
      </c>
    </row>
    <row r="2059" spans="1:7" x14ac:dyDescent="0.25">
      <c r="A2059" s="3" t="s">
        <v>84</v>
      </c>
      <c r="B2059" s="3" t="s">
        <v>2</v>
      </c>
      <c r="C2059" s="3">
        <v>2</v>
      </c>
      <c r="D2059" s="3">
        <v>2</v>
      </c>
      <c r="E2059" s="3">
        <v>2</v>
      </c>
      <c r="F2059" s="3">
        <v>0</v>
      </c>
      <c r="G2059" s="3">
        <v>0</v>
      </c>
    </row>
    <row r="2060" spans="1:7" x14ac:dyDescent="0.25">
      <c r="A2060" t="s">
        <v>84</v>
      </c>
      <c r="B2060" t="s">
        <v>4</v>
      </c>
      <c r="C2060">
        <v>3</v>
      </c>
      <c r="D2060">
        <v>0</v>
      </c>
      <c r="E2060">
        <v>0</v>
      </c>
      <c r="F2060">
        <v>0</v>
      </c>
      <c r="G2060">
        <v>0</v>
      </c>
    </row>
    <row r="2061" spans="1:7" x14ac:dyDescent="0.25">
      <c r="A2061" t="s">
        <v>84</v>
      </c>
      <c r="B2061" t="s">
        <v>5</v>
      </c>
      <c r="C2061">
        <v>9</v>
      </c>
      <c r="D2061">
        <v>9</v>
      </c>
      <c r="E2061">
        <f>4+2</f>
        <v>6</v>
      </c>
      <c r="F2061">
        <f>5-2+0</f>
        <v>3</v>
      </c>
      <c r="G2061">
        <v>0</v>
      </c>
    </row>
    <row r="2062" spans="1:7" x14ac:dyDescent="0.25">
      <c r="A2062" s="3" t="s">
        <v>84</v>
      </c>
      <c r="B2062" s="3" t="s">
        <v>5</v>
      </c>
      <c r="C2062" s="3">
        <v>4</v>
      </c>
      <c r="D2062" s="3">
        <v>4</v>
      </c>
      <c r="E2062" s="3">
        <v>3</v>
      </c>
      <c r="F2062" s="3">
        <v>1</v>
      </c>
      <c r="G2062" s="3">
        <v>0</v>
      </c>
    </row>
    <row r="2063" spans="1:7" x14ac:dyDescent="0.25">
      <c r="A2063" t="s">
        <v>84</v>
      </c>
      <c r="B2063" t="s">
        <v>185</v>
      </c>
      <c r="C2063">
        <v>4</v>
      </c>
      <c r="D2063">
        <v>4</v>
      </c>
      <c r="E2063">
        <f>1+1</f>
        <v>2</v>
      </c>
      <c r="F2063">
        <f>3-2+1</f>
        <v>2</v>
      </c>
      <c r="G2063">
        <v>0</v>
      </c>
    </row>
    <row r="2064" spans="1:7" x14ac:dyDescent="0.25">
      <c r="A2064" s="3" t="s">
        <v>84</v>
      </c>
      <c r="B2064" s="3" t="s">
        <v>185</v>
      </c>
      <c r="C2064" s="3">
        <v>6</v>
      </c>
      <c r="D2064" s="3">
        <v>6</v>
      </c>
      <c r="E2064" s="3">
        <v>6</v>
      </c>
      <c r="F2064" s="3">
        <v>0</v>
      </c>
      <c r="G2064" s="3">
        <v>0</v>
      </c>
    </row>
    <row r="2065" spans="1:7" x14ac:dyDescent="0.25">
      <c r="A2065" t="s">
        <v>84</v>
      </c>
      <c r="B2065" t="s">
        <v>186</v>
      </c>
      <c r="C2065">
        <f>13+1</f>
        <v>14</v>
      </c>
      <c r="D2065">
        <v>13</v>
      </c>
      <c r="E2065">
        <f>6+6</f>
        <v>12</v>
      </c>
      <c r="F2065">
        <f>8-9+2</f>
        <v>1</v>
      </c>
      <c r="G2065">
        <v>0</v>
      </c>
    </row>
    <row r="2066" spans="1:7" x14ac:dyDescent="0.25">
      <c r="A2066" s="3" t="s">
        <v>84</v>
      </c>
      <c r="B2066" s="3" t="s">
        <v>186</v>
      </c>
      <c r="C2066" s="3">
        <v>9</v>
      </c>
      <c r="D2066" s="3">
        <v>9</v>
      </c>
      <c r="E2066" s="3">
        <v>6</v>
      </c>
      <c r="F2066" s="3">
        <v>3</v>
      </c>
      <c r="G2066" s="3">
        <v>0</v>
      </c>
    </row>
    <row r="2067" spans="1:7" x14ac:dyDescent="0.25">
      <c r="A2067" t="s">
        <v>84</v>
      </c>
      <c r="B2067" t="s">
        <v>187</v>
      </c>
      <c r="C2067">
        <v>15</v>
      </c>
      <c r="D2067">
        <v>14</v>
      </c>
      <c r="E2067">
        <f>10+2</f>
        <v>12</v>
      </c>
      <c r="F2067">
        <f>4-3+1</f>
        <v>2</v>
      </c>
      <c r="G2067">
        <v>1</v>
      </c>
    </row>
    <row r="2068" spans="1:7" x14ac:dyDescent="0.25">
      <c r="A2068" s="3" t="s">
        <v>84</v>
      </c>
      <c r="B2068" s="3" t="s">
        <v>187</v>
      </c>
      <c r="C2068" s="3">
        <v>14</v>
      </c>
      <c r="D2068" s="3">
        <v>14</v>
      </c>
      <c r="E2068" s="3">
        <v>14</v>
      </c>
      <c r="F2068" s="3">
        <v>0</v>
      </c>
      <c r="G2068" s="3">
        <v>0</v>
      </c>
    </row>
    <row r="2069" spans="1:7" x14ac:dyDescent="0.25">
      <c r="A2069" t="s">
        <v>84</v>
      </c>
      <c r="B2069" t="s">
        <v>6</v>
      </c>
      <c r="C2069">
        <v>14</v>
      </c>
      <c r="D2069">
        <v>14</v>
      </c>
      <c r="E2069">
        <v>14</v>
      </c>
      <c r="F2069">
        <v>0</v>
      </c>
      <c r="G2069">
        <v>0</v>
      </c>
    </row>
    <row r="2070" spans="1:7" x14ac:dyDescent="0.25">
      <c r="A2070" s="3" t="s">
        <v>84</v>
      </c>
      <c r="B2070" s="3" t="s">
        <v>6</v>
      </c>
      <c r="C2070" s="3">
        <v>2</v>
      </c>
      <c r="D2070" s="3">
        <v>2</v>
      </c>
      <c r="E2070" s="3">
        <v>2</v>
      </c>
      <c r="F2070" s="3">
        <v>0</v>
      </c>
      <c r="G2070" s="3">
        <v>0</v>
      </c>
    </row>
    <row r="2071" spans="1:7" x14ac:dyDescent="0.25">
      <c r="A2071" t="s">
        <v>84</v>
      </c>
      <c r="B2071" t="s">
        <v>8</v>
      </c>
      <c r="C2071">
        <v>5</v>
      </c>
      <c r="D2071">
        <v>5</v>
      </c>
      <c r="E2071">
        <v>5</v>
      </c>
      <c r="F2071">
        <v>0</v>
      </c>
      <c r="G2071">
        <v>0</v>
      </c>
    </row>
    <row r="2072" spans="1:7" x14ac:dyDescent="0.25">
      <c r="A2072" s="3" t="s">
        <v>84</v>
      </c>
      <c r="B2072" s="3" t="s">
        <v>8</v>
      </c>
      <c r="C2072" s="3">
        <v>6</v>
      </c>
      <c r="D2072" s="3">
        <v>6</v>
      </c>
      <c r="E2072" s="3">
        <v>4</v>
      </c>
      <c r="F2072" s="3">
        <v>2</v>
      </c>
      <c r="G2072" s="3">
        <v>0</v>
      </c>
    </row>
    <row r="2073" spans="1:7" x14ac:dyDescent="0.25">
      <c r="A2073" t="s">
        <v>84</v>
      </c>
      <c r="B2073" t="s">
        <v>9</v>
      </c>
      <c r="C2073">
        <v>6</v>
      </c>
      <c r="D2073">
        <v>6</v>
      </c>
      <c r="E2073">
        <v>6</v>
      </c>
      <c r="F2073">
        <v>0</v>
      </c>
      <c r="G2073">
        <v>0</v>
      </c>
    </row>
    <row r="2074" spans="1:7" x14ac:dyDescent="0.25">
      <c r="A2074" s="3" t="s">
        <v>84</v>
      </c>
      <c r="B2074" s="3" t="s">
        <v>9</v>
      </c>
      <c r="C2074" s="3">
        <v>9</v>
      </c>
      <c r="D2074" s="3">
        <v>9</v>
      </c>
      <c r="E2074" s="3">
        <v>5</v>
      </c>
      <c r="F2074" s="3">
        <v>4</v>
      </c>
      <c r="G2074" s="3">
        <v>0</v>
      </c>
    </row>
    <row r="2075" spans="1:7" x14ac:dyDescent="0.25">
      <c r="A2075" t="s">
        <v>84</v>
      </c>
      <c r="B2075" t="s">
        <v>10</v>
      </c>
      <c r="C2075">
        <v>12</v>
      </c>
      <c r="D2075">
        <v>12</v>
      </c>
      <c r="E2075">
        <v>12</v>
      </c>
      <c r="F2075">
        <v>0</v>
      </c>
      <c r="G2075">
        <v>0</v>
      </c>
    </row>
    <row r="2076" spans="1:7" x14ac:dyDescent="0.25">
      <c r="A2076" s="3" t="s">
        <v>84</v>
      </c>
      <c r="B2076" s="3" t="s">
        <v>10</v>
      </c>
      <c r="C2076" s="3">
        <v>20</v>
      </c>
      <c r="D2076" s="3">
        <v>19</v>
      </c>
      <c r="E2076" s="3">
        <v>15</v>
      </c>
      <c r="F2076" s="3">
        <v>4</v>
      </c>
      <c r="G2076" s="3">
        <v>1</v>
      </c>
    </row>
    <row r="2077" spans="1:7" x14ac:dyDescent="0.25">
      <c r="A2077" t="s">
        <v>84</v>
      </c>
      <c r="B2077" t="s">
        <v>177</v>
      </c>
      <c r="C2077">
        <v>6</v>
      </c>
      <c r="D2077">
        <v>6</v>
      </c>
      <c r="E2077">
        <v>6</v>
      </c>
      <c r="F2077">
        <v>0</v>
      </c>
      <c r="G2077">
        <v>0</v>
      </c>
    </row>
    <row r="2078" spans="1:7" x14ac:dyDescent="0.25">
      <c r="A2078" s="3" t="s">
        <v>84</v>
      </c>
      <c r="B2078" s="3" t="s">
        <v>177</v>
      </c>
      <c r="C2078" s="3">
        <v>3</v>
      </c>
      <c r="D2078" s="3">
        <v>3</v>
      </c>
      <c r="E2078" s="3">
        <v>3</v>
      </c>
      <c r="F2078" s="3">
        <v>0</v>
      </c>
      <c r="G2078" s="3">
        <v>0</v>
      </c>
    </row>
    <row r="2079" spans="1:7" x14ac:dyDescent="0.25">
      <c r="A2079" t="s">
        <v>74</v>
      </c>
      <c r="B2079" t="s">
        <v>2</v>
      </c>
      <c r="C2079">
        <v>1</v>
      </c>
      <c r="D2079">
        <v>1</v>
      </c>
      <c r="E2079">
        <v>0</v>
      </c>
      <c r="F2079">
        <v>1</v>
      </c>
      <c r="G2079">
        <v>0</v>
      </c>
    </row>
    <row r="2080" spans="1:7" x14ac:dyDescent="0.25">
      <c r="A2080" s="3" t="s">
        <v>74</v>
      </c>
      <c r="B2080" s="3" t="s">
        <v>2</v>
      </c>
      <c r="C2080" s="3">
        <v>1</v>
      </c>
      <c r="D2080" s="3">
        <v>1</v>
      </c>
      <c r="E2080" s="3">
        <v>1</v>
      </c>
      <c r="F2080" s="3">
        <v>0</v>
      </c>
      <c r="G2080" s="3">
        <v>0</v>
      </c>
    </row>
    <row r="2081" spans="1:7" x14ac:dyDescent="0.25">
      <c r="A2081" t="s">
        <v>74</v>
      </c>
      <c r="B2081" t="s">
        <v>5</v>
      </c>
      <c r="C2081">
        <v>35</v>
      </c>
      <c r="D2081">
        <v>35</v>
      </c>
      <c r="E2081">
        <v>30</v>
      </c>
      <c r="F2081">
        <v>5</v>
      </c>
      <c r="G2081">
        <v>0</v>
      </c>
    </row>
    <row r="2082" spans="1:7" x14ac:dyDescent="0.25">
      <c r="A2082" s="3" t="s">
        <v>74</v>
      </c>
      <c r="B2082" s="3" t="s">
        <v>5</v>
      </c>
      <c r="C2082" s="3">
        <v>30</v>
      </c>
      <c r="D2082" s="3">
        <v>30</v>
      </c>
      <c r="E2082" s="3">
        <f>28+2</f>
        <v>30</v>
      </c>
      <c r="F2082" s="3">
        <f>2-2+0</f>
        <v>0</v>
      </c>
      <c r="G2082" s="3">
        <v>0</v>
      </c>
    </row>
    <row r="2083" spans="1:7" x14ac:dyDescent="0.25">
      <c r="A2083" t="s">
        <v>74</v>
      </c>
      <c r="B2083" t="s">
        <v>185</v>
      </c>
      <c r="C2083">
        <f>33+3</f>
        <v>36</v>
      </c>
      <c r="D2083">
        <f>33+3</f>
        <v>36</v>
      </c>
      <c r="E2083">
        <f>24+4</f>
        <v>28</v>
      </c>
      <c r="F2083">
        <f>12-6+2</f>
        <v>8</v>
      </c>
      <c r="G2083">
        <v>0</v>
      </c>
    </row>
    <row r="2084" spans="1:7" x14ac:dyDescent="0.25">
      <c r="A2084" s="3" t="s">
        <v>74</v>
      </c>
      <c r="B2084" s="3" t="s">
        <v>185</v>
      </c>
      <c r="C2084" s="3">
        <v>23</v>
      </c>
      <c r="D2084" s="3">
        <v>23</v>
      </c>
      <c r="E2084" s="3">
        <v>19</v>
      </c>
      <c r="F2084" s="3">
        <v>4</v>
      </c>
      <c r="G2084" s="3">
        <v>0</v>
      </c>
    </row>
    <row r="2085" spans="1:7" x14ac:dyDescent="0.25">
      <c r="A2085" t="s">
        <v>74</v>
      </c>
      <c r="B2085" t="s">
        <v>186</v>
      </c>
      <c r="C2085">
        <f>77+2</f>
        <v>79</v>
      </c>
      <c r="D2085">
        <v>73</v>
      </c>
      <c r="E2085">
        <f>51+8</f>
        <v>59</v>
      </c>
      <c r="F2085">
        <f>24-13+3</f>
        <v>14</v>
      </c>
      <c r="G2085">
        <v>0</v>
      </c>
    </row>
    <row r="2086" spans="1:7" x14ac:dyDescent="0.25">
      <c r="A2086" s="3" t="s">
        <v>74</v>
      </c>
      <c r="B2086" s="3" t="s">
        <v>186</v>
      </c>
      <c r="C2086" s="3">
        <v>37</v>
      </c>
      <c r="D2086" s="3">
        <v>34</v>
      </c>
      <c r="E2086" s="3">
        <v>26</v>
      </c>
      <c r="F2086" s="3">
        <v>8</v>
      </c>
      <c r="G2086" s="3">
        <v>0</v>
      </c>
    </row>
    <row r="2087" spans="1:7" x14ac:dyDescent="0.25">
      <c r="A2087" t="s">
        <v>74</v>
      </c>
      <c r="B2087" t="s">
        <v>189</v>
      </c>
      <c r="C2087">
        <v>1</v>
      </c>
      <c r="D2087">
        <v>1</v>
      </c>
      <c r="E2087">
        <v>1</v>
      </c>
      <c r="F2087">
        <v>0</v>
      </c>
      <c r="G2087">
        <v>0</v>
      </c>
    </row>
    <row r="2088" spans="1:7" x14ac:dyDescent="0.25">
      <c r="A2088" t="s">
        <v>74</v>
      </c>
      <c r="B2088" t="s">
        <v>187</v>
      </c>
      <c r="C2088">
        <f>54+1</f>
        <v>55</v>
      </c>
      <c r="D2088">
        <f>54+1</f>
        <v>55</v>
      </c>
      <c r="E2088">
        <f>40+9</f>
        <v>49</v>
      </c>
      <c r="F2088">
        <f>15-9+0</f>
        <v>6</v>
      </c>
      <c r="G2088">
        <v>0</v>
      </c>
    </row>
    <row r="2089" spans="1:7" x14ac:dyDescent="0.25">
      <c r="A2089" s="3" t="s">
        <v>74</v>
      </c>
      <c r="B2089" s="3" t="s">
        <v>187</v>
      </c>
      <c r="C2089" s="3">
        <v>29</v>
      </c>
      <c r="D2089" s="3">
        <v>29</v>
      </c>
      <c r="E2089" s="3">
        <v>21</v>
      </c>
      <c r="F2089" s="3">
        <v>8</v>
      </c>
      <c r="G2089" s="3">
        <v>0</v>
      </c>
    </row>
    <row r="2090" spans="1:7" x14ac:dyDescent="0.25">
      <c r="A2090" t="s">
        <v>74</v>
      </c>
      <c r="B2090" t="s">
        <v>6</v>
      </c>
      <c r="C2090">
        <v>14</v>
      </c>
      <c r="D2090">
        <v>14</v>
      </c>
      <c r="E2090">
        <v>14</v>
      </c>
      <c r="F2090">
        <v>0</v>
      </c>
      <c r="G2090">
        <v>0</v>
      </c>
    </row>
    <row r="2091" spans="1:7" x14ac:dyDescent="0.25">
      <c r="A2091" s="3" t="s">
        <v>74</v>
      </c>
      <c r="B2091" s="3" t="s">
        <v>6</v>
      </c>
      <c r="C2091" s="3">
        <v>4</v>
      </c>
      <c r="D2091" s="3">
        <v>4</v>
      </c>
      <c r="E2091" s="3">
        <v>4</v>
      </c>
      <c r="F2091" s="3">
        <v>0</v>
      </c>
      <c r="G2091" s="3">
        <v>0</v>
      </c>
    </row>
    <row r="2092" spans="1:7" x14ac:dyDescent="0.25">
      <c r="A2092" t="s">
        <v>74</v>
      </c>
      <c r="B2092" t="s">
        <v>8</v>
      </c>
      <c r="C2092">
        <v>5</v>
      </c>
      <c r="D2092">
        <v>2</v>
      </c>
      <c r="E2092">
        <v>2</v>
      </c>
      <c r="F2092">
        <v>0</v>
      </c>
      <c r="G2092">
        <v>0</v>
      </c>
    </row>
    <row r="2093" spans="1:7" x14ac:dyDescent="0.25">
      <c r="A2093" s="3" t="s">
        <v>74</v>
      </c>
      <c r="B2093" s="3" t="s">
        <v>8</v>
      </c>
      <c r="C2093" s="3">
        <v>7</v>
      </c>
      <c r="D2093" s="3">
        <v>4</v>
      </c>
      <c r="E2093" s="3">
        <v>2</v>
      </c>
      <c r="F2093" s="3">
        <v>2</v>
      </c>
      <c r="G2093" s="3">
        <v>0</v>
      </c>
    </row>
    <row r="2094" spans="1:7" x14ac:dyDescent="0.25">
      <c r="A2094" t="s">
        <v>74</v>
      </c>
      <c r="B2094" t="s">
        <v>9</v>
      </c>
      <c r="C2094">
        <v>6</v>
      </c>
      <c r="D2094">
        <v>4</v>
      </c>
      <c r="E2094">
        <v>4</v>
      </c>
      <c r="F2094">
        <v>0</v>
      </c>
      <c r="G2094">
        <v>0</v>
      </c>
    </row>
    <row r="2095" spans="1:7" x14ac:dyDescent="0.25">
      <c r="A2095" s="3" t="s">
        <v>74</v>
      </c>
      <c r="B2095" s="3" t="s">
        <v>9</v>
      </c>
      <c r="C2095" s="3">
        <v>2</v>
      </c>
      <c r="D2095" s="3">
        <v>1</v>
      </c>
      <c r="E2095" s="3">
        <v>1</v>
      </c>
      <c r="F2095" s="3">
        <v>0</v>
      </c>
      <c r="G2095" s="3">
        <v>0</v>
      </c>
    </row>
    <row r="2096" spans="1:7" x14ac:dyDescent="0.25">
      <c r="A2096" t="s">
        <v>74</v>
      </c>
      <c r="B2096" t="s">
        <v>10</v>
      </c>
      <c r="C2096">
        <v>43</v>
      </c>
      <c r="D2096">
        <v>43</v>
      </c>
      <c r="E2096">
        <v>39</v>
      </c>
      <c r="F2096">
        <v>4</v>
      </c>
      <c r="G2096">
        <v>0</v>
      </c>
    </row>
    <row r="2097" spans="1:7" x14ac:dyDescent="0.25">
      <c r="A2097" s="3" t="s">
        <v>74</v>
      </c>
      <c r="B2097" s="3" t="s">
        <v>10</v>
      </c>
      <c r="C2097" s="3">
        <v>18</v>
      </c>
      <c r="D2097" s="3">
        <v>18</v>
      </c>
      <c r="E2097" s="3">
        <v>17</v>
      </c>
      <c r="F2097" s="3">
        <v>1</v>
      </c>
      <c r="G2097" s="3">
        <v>0</v>
      </c>
    </row>
    <row r="2098" spans="1:7" x14ac:dyDescent="0.25">
      <c r="A2098" t="s">
        <v>74</v>
      </c>
      <c r="B2098" t="s">
        <v>177</v>
      </c>
      <c r="C2098">
        <v>18</v>
      </c>
      <c r="D2098">
        <v>18</v>
      </c>
      <c r="E2098">
        <v>18</v>
      </c>
      <c r="F2098">
        <v>0</v>
      </c>
      <c r="G2098">
        <v>0</v>
      </c>
    </row>
    <row r="2099" spans="1:7" x14ac:dyDescent="0.25">
      <c r="A2099" s="3" t="s">
        <v>74</v>
      </c>
      <c r="B2099" s="3" t="s">
        <v>177</v>
      </c>
      <c r="C2099" s="3">
        <v>20</v>
      </c>
      <c r="D2099" s="3">
        <v>19</v>
      </c>
      <c r="E2099" s="3">
        <v>19</v>
      </c>
      <c r="F2099" s="3">
        <v>0</v>
      </c>
      <c r="G2099" s="3">
        <v>0</v>
      </c>
    </row>
    <row r="2100" spans="1:7" x14ac:dyDescent="0.25">
      <c r="A2100" t="s">
        <v>104</v>
      </c>
      <c r="B2100" t="s">
        <v>5</v>
      </c>
      <c r="C2100">
        <v>9</v>
      </c>
      <c r="D2100">
        <v>9</v>
      </c>
      <c r="E2100">
        <v>6</v>
      </c>
      <c r="F2100">
        <v>3</v>
      </c>
      <c r="G2100">
        <v>0</v>
      </c>
    </row>
    <row r="2101" spans="1:7" x14ac:dyDescent="0.25">
      <c r="A2101" s="3" t="s">
        <v>104</v>
      </c>
      <c r="B2101" s="3" t="s">
        <v>5</v>
      </c>
      <c r="C2101" s="3">
        <v>12</v>
      </c>
      <c r="D2101" s="3">
        <v>10</v>
      </c>
      <c r="E2101" s="3">
        <f>5+0</f>
        <v>5</v>
      </c>
      <c r="F2101" s="3">
        <f>6-2+1</f>
        <v>5</v>
      </c>
      <c r="G2101" s="3">
        <v>0</v>
      </c>
    </row>
    <row r="2102" spans="1:7" x14ac:dyDescent="0.25">
      <c r="A2102" t="s">
        <v>104</v>
      </c>
      <c r="B2102" t="s">
        <v>185</v>
      </c>
      <c r="C2102">
        <v>56</v>
      </c>
      <c r="D2102">
        <v>51</v>
      </c>
      <c r="E2102">
        <f>31+14</f>
        <v>45</v>
      </c>
      <c r="F2102">
        <f>21-17+2</f>
        <v>6</v>
      </c>
      <c r="G2102">
        <v>0</v>
      </c>
    </row>
    <row r="2103" spans="1:7" x14ac:dyDescent="0.25">
      <c r="A2103" s="3" t="s">
        <v>104</v>
      </c>
      <c r="B2103" s="3" t="s">
        <v>185</v>
      </c>
      <c r="C2103" s="3">
        <v>36</v>
      </c>
      <c r="D2103" s="3">
        <v>36</v>
      </c>
      <c r="E2103" s="3">
        <v>26</v>
      </c>
      <c r="F2103" s="3">
        <v>10</v>
      </c>
      <c r="G2103" s="3">
        <v>0</v>
      </c>
    </row>
    <row r="2104" spans="1:7" x14ac:dyDescent="0.25">
      <c r="A2104" t="s">
        <v>104</v>
      </c>
      <c r="B2104" t="s">
        <v>186</v>
      </c>
      <c r="C2104">
        <f>66+1</f>
        <v>67</v>
      </c>
      <c r="D2104">
        <f>62+1</f>
        <v>63</v>
      </c>
      <c r="E2104">
        <f>52+8</f>
        <v>60</v>
      </c>
      <c r="F2104">
        <f>11-9+1</f>
        <v>3</v>
      </c>
      <c r="G2104">
        <v>0</v>
      </c>
    </row>
    <row r="2105" spans="1:7" x14ac:dyDescent="0.25">
      <c r="A2105" s="3" t="s">
        <v>104</v>
      </c>
      <c r="B2105" s="3" t="s">
        <v>186</v>
      </c>
      <c r="C2105" s="3">
        <v>52</v>
      </c>
      <c r="D2105" s="3">
        <v>48</v>
      </c>
      <c r="E2105" s="3">
        <v>44</v>
      </c>
      <c r="F2105" s="3">
        <v>4</v>
      </c>
      <c r="G2105" s="3">
        <v>0</v>
      </c>
    </row>
    <row r="2106" spans="1:7" x14ac:dyDescent="0.25">
      <c r="A2106" t="s">
        <v>104</v>
      </c>
      <c r="B2106" t="s">
        <v>187</v>
      </c>
      <c r="C2106">
        <f>16+5</f>
        <v>21</v>
      </c>
      <c r="D2106">
        <f>16+5</f>
        <v>21</v>
      </c>
      <c r="E2106">
        <f>10+8</f>
        <v>18</v>
      </c>
      <c r="F2106">
        <f>11-8+0</f>
        <v>3</v>
      </c>
      <c r="G2106">
        <v>0</v>
      </c>
    </row>
    <row r="2107" spans="1:7" x14ac:dyDescent="0.25">
      <c r="A2107" s="3" t="s">
        <v>104</v>
      </c>
      <c r="B2107" s="3" t="s">
        <v>187</v>
      </c>
      <c r="C2107" s="3">
        <v>17</v>
      </c>
      <c r="D2107" s="3">
        <v>17</v>
      </c>
      <c r="E2107" s="3">
        <v>13</v>
      </c>
      <c r="F2107" s="3">
        <v>4</v>
      </c>
      <c r="G2107" s="3">
        <v>0</v>
      </c>
    </row>
    <row r="2108" spans="1:7" x14ac:dyDescent="0.25">
      <c r="A2108" t="s">
        <v>104</v>
      </c>
      <c r="B2108" t="s">
        <v>6</v>
      </c>
      <c r="C2108">
        <v>13</v>
      </c>
      <c r="D2108">
        <v>13</v>
      </c>
      <c r="E2108">
        <v>13</v>
      </c>
      <c r="F2108">
        <v>0</v>
      </c>
      <c r="G2108">
        <v>0</v>
      </c>
    </row>
    <row r="2109" spans="1:7" x14ac:dyDescent="0.25">
      <c r="A2109" s="3" t="s">
        <v>104</v>
      </c>
      <c r="B2109" s="3" t="s">
        <v>6</v>
      </c>
      <c r="C2109" s="3">
        <v>1</v>
      </c>
      <c r="D2109" s="3">
        <v>1</v>
      </c>
      <c r="E2109" s="3">
        <v>1</v>
      </c>
      <c r="F2109" s="3">
        <v>0</v>
      </c>
      <c r="G2109" s="3">
        <v>0</v>
      </c>
    </row>
    <row r="2110" spans="1:7" x14ac:dyDescent="0.25">
      <c r="A2110" s="3" t="s">
        <v>104</v>
      </c>
      <c r="B2110" s="3" t="s">
        <v>7</v>
      </c>
      <c r="C2110" s="3">
        <v>3</v>
      </c>
      <c r="D2110" s="3">
        <v>0</v>
      </c>
      <c r="E2110" s="3">
        <v>0</v>
      </c>
      <c r="F2110" s="3">
        <v>0</v>
      </c>
      <c r="G2110" s="3">
        <v>0</v>
      </c>
    </row>
    <row r="2111" spans="1:7" x14ac:dyDescent="0.25">
      <c r="A2111" t="s">
        <v>104</v>
      </c>
      <c r="B2111" t="s">
        <v>8</v>
      </c>
      <c r="C2111">
        <v>19</v>
      </c>
      <c r="D2111">
        <v>19</v>
      </c>
      <c r="E2111">
        <v>11</v>
      </c>
      <c r="F2111">
        <v>8</v>
      </c>
      <c r="G2111">
        <v>0</v>
      </c>
    </row>
    <row r="2112" spans="1:7" x14ac:dyDescent="0.25">
      <c r="A2112" s="3" t="s">
        <v>104</v>
      </c>
      <c r="B2112" s="3" t="s">
        <v>8</v>
      </c>
      <c r="C2112" s="3">
        <v>12</v>
      </c>
      <c r="D2112" s="3">
        <v>12</v>
      </c>
      <c r="E2112" s="3">
        <v>6</v>
      </c>
      <c r="F2112" s="3">
        <v>6</v>
      </c>
      <c r="G2112" s="3">
        <v>0</v>
      </c>
    </row>
    <row r="2113" spans="1:7" x14ac:dyDescent="0.25">
      <c r="A2113" t="s">
        <v>104</v>
      </c>
      <c r="B2113" t="s">
        <v>9</v>
      </c>
      <c r="C2113">
        <v>3</v>
      </c>
      <c r="D2113">
        <v>3</v>
      </c>
      <c r="E2113">
        <v>3</v>
      </c>
      <c r="F2113">
        <v>0</v>
      </c>
      <c r="G2113">
        <v>0</v>
      </c>
    </row>
    <row r="2114" spans="1:7" x14ac:dyDescent="0.25">
      <c r="A2114" t="s">
        <v>104</v>
      </c>
      <c r="B2114" t="s">
        <v>10</v>
      </c>
      <c r="C2114">
        <v>50</v>
      </c>
      <c r="D2114">
        <v>50</v>
      </c>
      <c r="E2114">
        <v>39</v>
      </c>
      <c r="F2114">
        <v>11</v>
      </c>
      <c r="G2114">
        <v>0</v>
      </c>
    </row>
    <row r="2115" spans="1:7" x14ac:dyDescent="0.25">
      <c r="A2115" s="3" t="s">
        <v>104</v>
      </c>
      <c r="B2115" s="3" t="s">
        <v>10</v>
      </c>
      <c r="C2115" s="3">
        <v>47</v>
      </c>
      <c r="D2115" s="3">
        <v>47</v>
      </c>
      <c r="E2115" s="3">
        <v>30</v>
      </c>
      <c r="F2115" s="3">
        <v>17</v>
      </c>
      <c r="G2115" s="3">
        <v>0</v>
      </c>
    </row>
    <row r="2116" spans="1:7" x14ac:dyDescent="0.25">
      <c r="A2116" s="3" t="s">
        <v>104</v>
      </c>
      <c r="B2116" s="3" t="s">
        <v>177</v>
      </c>
      <c r="C2116" s="3">
        <v>6</v>
      </c>
      <c r="D2116" s="3">
        <v>3</v>
      </c>
      <c r="E2116" s="3">
        <v>3</v>
      </c>
      <c r="F2116" s="3">
        <v>0</v>
      </c>
      <c r="G2116" s="3">
        <v>0</v>
      </c>
    </row>
    <row r="2117" spans="1:7" x14ac:dyDescent="0.25">
      <c r="A2117" t="s">
        <v>60</v>
      </c>
      <c r="B2117" t="s">
        <v>2</v>
      </c>
      <c r="C2117">
        <v>3</v>
      </c>
      <c r="D2117">
        <v>3</v>
      </c>
      <c r="E2117">
        <v>1</v>
      </c>
      <c r="F2117">
        <f>3-2+1</f>
        <v>2</v>
      </c>
      <c r="G2117">
        <v>0</v>
      </c>
    </row>
    <row r="2118" spans="1:7" x14ac:dyDescent="0.25">
      <c r="A2118" s="3" t="s">
        <v>60</v>
      </c>
      <c r="B2118" s="3" t="s">
        <v>2</v>
      </c>
      <c r="C2118" s="3">
        <v>2</v>
      </c>
      <c r="D2118" s="3">
        <v>2</v>
      </c>
      <c r="E2118" s="3">
        <v>2</v>
      </c>
      <c r="F2118" s="3">
        <v>0</v>
      </c>
      <c r="G2118" s="3">
        <v>0</v>
      </c>
    </row>
    <row r="2119" spans="1:7" x14ac:dyDescent="0.25">
      <c r="A2119" t="s">
        <v>60</v>
      </c>
      <c r="B2119" t="s">
        <v>4</v>
      </c>
      <c r="C2119">
        <v>1</v>
      </c>
      <c r="D2119">
        <v>0</v>
      </c>
      <c r="E2119">
        <v>0</v>
      </c>
      <c r="F2119">
        <v>0</v>
      </c>
      <c r="G2119">
        <v>0</v>
      </c>
    </row>
    <row r="2120" spans="1:7" x14ac:dyDescent="0.25">
      <c r="A2120" t="s">
        <v>60</v>
      </c>
      <c r="B2120" t="s">
        <v>5</v>
      </c>
      <c r="C2120">
        <v>16</v>
      </c>
      <c r="D2120">
        <v>15</v>
      </c>
      <c r="E2120">
        <v>15</v>
      </c>
      <c r="F2120">
        <v>0</v>
      </c>
      <c r="G2120">
        <v>0</v>
      </c>
    </row>
    <row r="2121" spans="1:7" x14ac:dyDescent="0.25">
      <c r="A2121" s="3" t="s">
        <v>60</v>
      </c>
      <c r="B2121" s="3" t="s">
        <v>5</v>
      </c>
      <c r="C2121" s="3">
        <v>18</v>
      </c>
      <c r="D2121" s="3">
        <v>17</v>
      </c>
      <c r="E2121" s="3">
        <v>16</v>
      </c>
      <c r="F2121" s="3">
        <v>1</v>
      </c>
      <c r="G2121" s="3">
        <v>0</v>
      </c>
    </row>
    <row r="2122" spans="1:7" x14ac:dyDescent="0.25">
      <c r="A2122" t="s">
        <v>60</v>
      </c>
      <c r="B2122" t="s">
        <v>185</v>
      </c>
      <c r="C2122">
        <f>13+2</f>
        <v>15</v>
      </c>
      <c r="D2122">
        <f>13+2</f>
        <v>15</v>
      </c>
      <c r="E2122">
        <f>8+2</f>
        <v>10</v>
      </c>
      <c r="F2122">
        <v>5</v>
      </c>
      <c r="G2122">
        <v>0</v>
      </c>
    </row>
    <row r="2123" spans="1:7" x14ac:dyDescent="0.25">
      <c r="A2123" s="3" t="s">
        <v>60</v>
      </c>
      <c r="B2123" s="3" t="s">
        <v>185</v>
      </c>
      <c r="C2123" s="3">
        <v>15</v>
      </c>
      <c r="D2123" s="3">
        <v>13</v>
      </c>
      <c r="E2123" s="3">
        <v>13</v>
      </c>
      <c r="F2123" s="3">
        <v>0</v>
      </c>
      <c r="G2123" s="3">
        <v>1</v>
      </c>
    </row>
    <row r="2124" spans="1:7" x14ac:dyDescent="0.25">
      <c r="A2124" t="s">
        <v>60</v>
      </c>
      <c r="B2124" t="s">
        <v>186</v>
      </c>
      <c r="C2124">
        <v>28</v>
      </c>
      <c r="D2124">
        <v>26</v>
      </c>
      <c r="E2124">
        <v>22</v>
      </c>
      <c r="F2124">
        <v>4</v>
      </c>
      <c r="G2124">
        <v>0</v>
      </c>
    </row>
    <row r="2125" spans="1:7" x14ac:dyDescent="0.25">
      <c r="A2125" s="3" t="s">
        <v>60</v>
      </c>
      <c r="B2125" s="3" t="s">
        <v>186</v>
      </c>
      <c r="C2125" s="3">
        <v>14</v>
      </c>
      <c r="D2125" s="3">
        <v>13</v>
      </c>
      <c r="E2125" s="3">
        <f>11+1</f>
        <v>12</v>
      </c>
      <c r="F2125" s="3">
        <f>2-2+1</f>
        <v>1</v>
      </c>
      <c r="G2125" s="3">
        <v>0</v>
      </c>
    </row>
    <row r="2126" spans="1:7" x14ac:dyDescent="0.25">
      <c r="A2126" t="s">
        <v>60</v>
      </c>
      <c r="B2126" t="s">
        <v>187</v>
      </c>
      <c r="C2126">
        <f>35+1</f>
        <v>36</v>
      </c>
      <c r="D2126">
        <f>34+1</f>
        <v>35</v>
      </c>
      <c r="E2126">
        <v>24</v>
      </c>
      <c r="F2126">
        <f>10+1</f>
        <v>11</v>
      </c>
      <c r="G2126">
        <v>0</v>
      </c>
    </row>
    <row r="2127" spans="1:7" x14ac:dyDescent="0.25">
      <c r="A2127" s="3" t="s">
        <v>60</v>
      </c>
      <c r="B2127" s="3" t="s">
        <v>187</v>
      </c>
      <c r="C2127" s="3">
        <v>21</v>
      </c>
      <c r="D2127" s="3">
        <v>21</v>
      </c>
      <c r="E2127" s="3">
        <f>14+2</f>
        <v>16</v>
      </c>
      <c r="F2127" s="3">
        <f>7-2+0</f>
        <v>5</v>
      </c>
      <c r="G2127" s="3">
        <v>0</v>
      </c>
    </row>
    <row r="2128" spans="1:7" x14ac:dyDescent="0.25">
      <c r="A2128" t="s">
        <v>60</v>
      </c>
      <c r="B2128" t="s">
        <v>6</v>
      </c>
      <c r="C2128">
        <v>10</v>
      </c>
      <c r="D2128">
        <v>10</v>
      </c>
      <c r="E2128">
        <v>9</v>
      </c>
      <c r="F2128">
        <v>1</v>
      </c>
      <c r="G2128">
        <v>0</v>
      </c>
    </row>
    <row r="2129" spans="1:7" x14ac:dyDescent="0.25">
      <c r="A2129" s="3" t="s">
        <v>60</v>
      </c>
      <c r="B2129" s="3" t="s">
        <v>6</v>
      </c>
      <c r="C2129" s="3">
        <v>7</v>
      </c>
      <c r="D2129" s="3">
        <v>7</v>
      </c>
      <c r="E2129" s="3">
        <v>7</v>
      </c>
      <c r="F2129" s="3">
        <v>0</v>
      </c>
      <c r="G2129" s="3">
        <v>0</v>
      </c>
    </row>
    <row r="2130" spans="1:7" x14ac:dyDescent="0.25">
      <c r="A2130" t="s">
        <v>60</v>
      </c>
      <c r="B2130" t="s">
        <v>8</v>
      </c>
      <c r="C2130">
        <v>3</v>
      </c>
      <c r="D2130">
        <v>3</v>
      </c>
      <c r="E2130">
        <v>3</v>
      </c>
      <c r="F2130">
        <v>0</v>
      </c>
      <c r="G2130">
        <v>0</v>
      </c>
    </row>
    <row r="2131" spans="1:7" x14ac:dyDescent="0.25">
      <c r="A2131" s="3" t="s">
        <v>60</v>
      </c>
      <c r="B2131" s="3" t="s">
        <v>8</v>
      </c>
      <c r="C2131" s="3">
        <v>11</v>
      </c>
      <c r="D2131" s="3">
        <v>11</v>
      </c>
      <c r="E2131" s="3">
        <v>7</v>
      </c>
      <c r="F2131" s="3">
        <v>4</v>
      </c>
      <c r="G2131" s="3">
        <v>0</v>
      </c>
    </row>
    <row r="2132" spans="1:7" x14ac:dyDescent="0.25">
      <c r="A2132" t="s">
        <v>60</v>
      </c>
      <c r="B2132" t="s">
        <v>9</v>
      </c>
      <c r="C2132">
        <v>2</v>
      </c>
      <c r="D2132">
        <v>2</v>
      </c>
      <c r="E2132">
        <v>2</v>
      </c>
      <c r="F2132">
        <v>0</v>
      </c>
      <c r="G2132">
        <v>0</v>
      </c>
    </row>
    <row r="2133" spans="1:7" x14ac:dyDescent="0.25">
      <c r="A2133" s="3" t="s">
        <v>60</v>
      </c>
      <c r="B2133" s="3" t="s">
        <v>9</v>
      </c>
      <c r="C2133" s="3">
        <v>7</v>
      </c>
      <c r="D2133" s="3">
        <v>7</v>
      </c>
      <c r="E2133" s="3">
        <v>7</v>
      </c>
      <c r="F2133" s="3">
        <v>0</v>
      </c>
      <c r="G2133" s="3">
        <v>0</v>
      </c>
    </row>
    <row r="2134" spans="1:7" x14ac:dyDescent="0.25">
      <c r="A2134" t="s">
        <v>60</v>
      </c>
      <c r="B2134" t="s">
        <v>10</v>
      </c>
      <c r="C2134">
        <v>20</v>
      </c>
      <c r="D2134">
        <v>20</v>
      </c>
      <c r="E2134">
        <v>19</v>
      </c>
      <c r="F2134">
        <v>1</v>
      </c>
      <c r="G2134">
        <v>0</v>
      </c>
    </row>
    <row r="2135" spans="1:7" x14ac:dyDescent="0.25">
      <c r="A2135" s="3" t="s">
        <v>60</v>
      </c>
      <c r="B2135" s="3" t="s">
        <v>10</v>
      </c>
      <c r="C2135" s="3">
        <v>26</v>
      </c>
      <c r="D2135" s="3">
        <v>26</v>
      </c>
      <c r="E2135" s="3">
        <v>20</v>
      </c>
      <c r="F2135" s="3">
        <v>6</v>
      </c>
      <c r="G2135" s="3">
        <v>0</v>
      </c>
    </row>
    <row r="2136" spans="1:7" x14ac:dyDescent="0.25">
      <c r="A2136" t="s">
        <v>60</v>
      </c>
      <c r="B2136" t="s">
        <v>177</v>
      </c>
      <c r="C2136">
        <v>22</v>
      </c>
      <c r="D2136">
        <v>22</v>
      </c>
      <c r="E2136">
        <v>11</v>
      </c>
      <c r="F2136">
        <v>11</v>
      </c>
      <c r="G2136">
        <v>0</v>
      </c>
    </row>
    <row r="2137" spans="1:7" x14ac:dyDescent="0.25">
      <c r="A2137" s="3" t="s">
        <v>60</v>
      </c>
      <c r="B2137" s="3" t="s">
        <v>177</v>
      </c>
      <c r="C2137" s="3">
        <v>16</v>
      </c>
      <c r="D2137" s="3">
        <v>16</v>
      </c>
      <c r="E2137" s="3">
        <v>10</v>
      </c>
      <c r="F2137" s="3">
        <v>6</v>
      </c>
      <c r="G2137" s="3">
        <v>0</v>
      </c>
    </row>
    <row r="2138" spans="1:7" x14ac:dyDescent="0.25">
      <c r="A2138" t="s">
        <v>37</v>
      </c>
      <c r="B2138" t="s">
        <v>2</v>
      </c>
      <c r="C2138">
        <v>2</v>
      </c>
      <c r="D2138">
        <v>2</v>
      </c>
      <c r="E2138">
        <v>1</v>
      </c>
      <c r="F2138">
        <v>1</v>
      </c>
      <c r="G2138">
        <v>0</v>
      </c>
    </row>
    <row r="2139" spans="1:7" x14ac:dyDescent="0.25">
      <c r="A2139" s="3" t="s">
        <v>37</v>
      </c>
      <c r="B2139" s="3" t="s">
        <v>2</v>
      </c>
      <c r="C2139" s="3">
        <v>3</v>
      </c>
      <c r="D2139" s="3">
        <v>3</v>
      </c>
      <c r="E2139" s="3">
        <v>3</v>
      </c>
      <c r="F2139" s="3">
        <v>0</v>
      </c>
      <c r="G2139" s="3">
        <v>0</v>
      </c>
    </row>
    <row r="2140" spans="1:7" x14ac:dyDescent="0.25">
      <c r="A2140" t="s">
        <v>37</v>
      </c>
      <c r="B2140" t="s">
        <v>4</v>
      </c>
      <c r="C2140">
        <v>3</v>
      </c>
      <c r="D2140">
        <v>0</v>
      </c>
      <c r="E2140">
        <v>0</v>
      </c>
      <c r="F2140">
        <v>0</v>
      </c>
      <c r="G2140">
        <v>0</v>
      </c>
    </row>
    <row r="2141" spans="1:7" x14ac:dyDescent="0.25">
      <c r="A2141" t="s">
        <v>37</v>
      </c>
      <c r="B2141" t="s">
        <v>5</v>
      </c>
      <c r="C2141">
        <v>13</v>
      </c>
      <c r="D2141">
        <v>13</v>
      </c>
      <c r="E2141">
        <v>11</v>
      </c>
      <c r="F2141">
        <v>2</v>
      </c>
      <c r="G2141">
        <v>0</v>
      </c>
    </row>
    <row r="2142" spans="1:7" x14ac:dyDescent="0.25">
      <c r="A2142" s="3" t="s">
        <v>37</v>
      </c>
      <c r="B2142" s="3" t="s">
        <v>5</v>
      </c>
      <c r="C2142" s="3">
        <v>15</v>
      </c>
      <c r="D2142" s="3">
        <v>15</v>
      </c>
      <c r="E2142" s="3">
        <v>11</v>
      </c>
      <c r="F2142" s="3">
        <v>4</v>
      </c>
      <c r="G2142" s="3">
        <v>0</v>
      </c>
    </row>
    <row r="2143" spans="1:7" x14ac:dyDescent="0.25">
      <c r="A2143" t="s">
        <v>37</v>
      </c>
      <c r="B2143" t="s">
        <v>185</v>
      </c>
      <c r="C2143">
        <f>33+7</f>
        <v>40</v>
      </c>
      <c r="D2143">
        <f>33+7</f>
        <v>40</v>
      </c>
      <c r="E2143">
        <f>34+2</f>
        <v>36</v>
      </c>
      <c r="F2143">
        <f>6-3+1</f>
        <v>4</v>
      </c>
      <c r="G2143">
        <v>0</v>
      </c>
    </row>
    <row r="2144" spans="1:7" x14ac:dyDescent="0.25">
      <c r="A2144" s="3" t="s">
        <v>37</v>
      </c>
      <c r="B2144" s="3" t="s">
        <v>185</v>
      </c>
      <c r="C2144" s="3">
        <v>29</v>
      </c>
      <c r="D2144" s="3">
        <v>28</v>
      </c>
      <c r="E2144" s="3">
        <v>27</v>
      </c>
      <c r="F2144" s="3">
        <v>1</v>
      </c>
      <c r="G2144" s="3">
        <v>0</v>
      </c>
    </row>
    <row r="2145" spans="1:7" x14ac:dyDescent="0.25">
      <c r="A2145" t="s">
        <v>37</v>
      </c>
      <c r="B2145" t="s">
        <v>186</v>
      </c>
      <c r="C2145">
        <f>46+3</f>
        <v>49</v>
      </c>
      <c r="D2145">
        <f>46+3</f>
        <v>49</v>
      </c>
      <c r="E2145">
        <f>39+3</f>
        <v>42</v>
      </c>
      <c r="F2145">
        <v>7</v>
      </c>
      <c r="G2145">
        <v>0</v>
      </c>
    </row>
    <row r="2146" spans="1:7" x14ac:dyDescent="0.25">
      <c r="A2146" s="3" t="s">
        <v>37</v>
      </c>
      <c r="B2146" s="3" t="s">
        <v>186</v>
      </c>
      <c r="C2146" s="3">
        <v>37</v>
      </c>
      <c r="D2146" s="3">
        <v>35</v>
      </c>
      <c r="E2146" s="3">
        <f>29+2</f>
        <v>31</v>
      </c>
      <c r="F2146" s="3">
        <f>6-5+3</f>
        <v>4</v>
      </c>
      <c r="G2146" s="3">
        <v>0</v>
      </c>
    </row>
    <row r="2147" spans="1:7" x14ac:dyDescent="0.25">
      <c r="A2147" t="s">
        <v>37</v>
      </c>
      <c r="B2147" t="s">
        <v>187</v>
      </c>
      <c r="C2147">
        <f>27+1</f>
        <v>28</v>
      </c>
      <c r="D2147">
        <f>27+1</f>
        <v>28</v>
      </c>
      <c r="E2147">
        <f>16+1</f>
        <v>17</v>
      </c>
      <c r="F2147">
        <v>11</v>
      </c>
      <c r="G2147">
        <v>0</v>
      </c>
    </row>
    <row r="2148" spans="1:7" x14ac:dyDescent="0.25">
      <c r="A2148" s="3" t="s">
        <v>37</v>
      </c>
      <c r="B2148" s="3" t="s">
        <v>187</v>
      </c>
      <c r="C2148" s="3">
        <v>26</v>
      </c>
      <c r="D2148" s="3">
        <v>25</v>
      </c>
      <c r="E2148" s="3">
        <f>18+3</f>
        <v>21</v>
      </c>
      <c r="F2148" s="3">
        <f>7-4+1</f>
        <v>4</v>
      </c>
      <c r="G2148" s="3">
        <v>0</v>
      </c>
    </row>
    <row r="2149" spans="1:7" x14ac:dyDescent="0.25">
      <c r="A2149" t="s">
        <v>37</v>
      </c>
      <c r="B2149" t="s">
        <v>6</v>
      </c>
      <c r="C2149">
        <v>32</v>
      </c>
      <c r="D2149">
        <v>31</v>
      </c>
      <c r="E2149">
        <v>31</v>
      </c>
      <c r="F2149">
        <v>0</v>
      </c>
      <c r="G2149">
        <v>0</v>
      </c>
    </row>
    <row r="2150" spans="1:7" x14ac:dyDescent="0.25">
      <c r="A2150" s="3" t="s">
        <v>37</v>
      </c>
      <c r="B2150" s="3" t="s">
        <v>6</v>
      </c>
      <c r="C2150" s="3">
        <v>14</v>
      </c>
      <c r="D2150" s="3">
        <v>14</v>
      </c>
      <c r="E2150" s="3">
        <v>14</v>
      </c>
      <c r="F2150" s="3">
        <v>0</v>
      </c>
      <c r="G2150" s="3">
        <v>0</v>
      </c>
    </row>
    <row r="2151" spans="1:7" x14ac:dyDescent="0.25">
      <c r="A2151" t="s">
        <v>37</v>
      </c>
      <c r="B2151" t="s">
        <v>7</v>
      </c>
      <c r="C2151">
        <v>4</v>
      </c>
      <c r="D2151">
        <v>3</v>
      </c>
      <c r="E2151">
        <v>3</v>
      </c>
      <c r="F2151">
        <v>0</v>
      </c>
      <c r="G2151">
        <v>0</v>
      </c>
    </row>
    <row r="2152" spans="1:7" x14ac:dyDescent="0.25">
      <c r="A2152" s="3" t="s">
        <v>37</v>
      </c>
      <c r="B2152" s="3" t="s">
        <v>7</v>
      </c>
      <c r="C2152" s="3">
        <v>8</v>
      </c>
      <c r="D2152" s="3">
        <v>8</v>
      </c>
      <c r="E2152" s="3">
        <v>8</v>
      </c>
      <c r="F2152" s="3">
        <v>0</v>
      </c>
      <c r="G2152" s="3">
        <v>0</v>
      </c>
    </row>
    <row r="2153" spans="1:7" x14ac:dyDescent="0.25">
      <c r="A2153" t="s">
        <v>37</v>
      </c>
      <c r="B2153" t="s">
        <v>8</v>
      </c>
      <c r="C2153">
        <v>17</v>
      </c>
      <c r="D2153">
        <v>16</v>
      </c>
      <c r="E2153">
        <v>13</v>
      </c>
      <c r="F2153">
        <v>3</v>
      </c>
      <c r="G2153">
        <v>0</v>
      </c>
    </row>
    <row r="2154" spans="1:7" x14ac:dyDescent="0.25">
      <c r="A2154" s="3" t="s">
        <v>37</v>
      </c>
      <c r="B2154" s="3" t="s">
        <v>8</v>
      </c>
      <c r="C2154" s="3">
        <v>26</v>
      </c>
      <c r="D2154" s="3">
        <v>26</v>
      </c>
      <c r="E2154" s="3">
        <v>23</v>
      </c>
      <c r="F2154" s="3">
        <v>3</v>
      </c>
      <c r="G2154" s="3">
        <v>0</v>
      </c>
    </row>
    <row r="2155" spans="1:7" x14ac:dyDescent="0.25">
      <c r="A2155" t="s">
        <v>37</v>
      </c>
      <c r="B2155" t="s">
        <v>9</v>
      </c>
      <c r="C2155">
        <v>16</v>
      </c>
      <c r="D2155">
        <v>16</v>
      </c>
      <c r="E2155">
        <v>16</v>
      </c>
      <c r="F2155">
        <v>0</v>
      </c>
      <c r="G2155">
        <v>0</v>
      </c>
    </row>
    <row r="2156" spans="1:7" x14ac:dyDescent="0.25">
      <c r="A2156" s="3" t="s">
        <v>37</v>
      </c>
      <c r="B2156" s="3" t="s">
        <v>9</v>
      </c>
      <c r="C2156" s="3">
        <v>22</v>
      </c>
      <c r="D2156" s="3">
        <v>22</v>
      </c>
      <c r="E2156" s="3">
        <v>21</v>
      </c>
      <c r="F2156" s="3">
        <v>1</v>
      </c>
      <c r="G2156" s="3">
        <v>0</v>
      </c>
    </row>
    <row r="2157" spans="1:7" x14ac:dyDescent="0.25">
      <c r="A2157" t="s">
        <v>37</v>
      </c>
      <c r="B2157" t="s">
        <v>10</v>
      </c>
      <c r="C2157">
        <v>46</v>
      </c>
      <c r="D2157">
        <v>46</v>
      </c>
      <c r="E2157">
        <v>40</v>
      </c>
      <c r="F2157">
        <v>6</v>
      </c>
      <c r="G2157">
        <v>0</v>
      </c>
    </row>
    <row r="2158" spans="1:7" x14ac:dyDescent="0.25">
      <c r="A2158" s="3" t="s">
        <v>37</v>
      </c>
      <c r="B2158" s="3" t="s">
        <v>10</v>
      </c>
      <c r="C2158" s="3">
        <v>35</v>
      </c>
      <c r="D2158" s="3">
        <v>34</v>
      </c>
      <c r="E2158" s="3">
        <v>30</v>
      </c>
      <c r="F2158" s="3">
        <v>4</v>
      </c>
      <c r="G2158" s="3">
        <v>0</v>
      </c>
    </row>
    <row r="2159" spans="1:7" x14ac:dyDescent="0.25">
      <c r="A2159" t="s">
        <v>37</v>
      </c>
      <c r="B2159" t="s">
        <v>177</v>
      </c>
      <c r="C2159">
        <v>11</v>
      </c>
      <c r="D2159">
        <v>10</v>
      </c>
      <c r="E2159">
        <v>9</v>
      </c>
      <c r="F2159">
        <v>1</v>
      </c>
      <c r="G2159">
        <v>0</v>
      </c>
    </row>
    <row r="2160" spans="1:7" x14ac:dyDescent="0.25">
      <c r="A2160" s="3" t="s">
        <v>37</v>
      </c>
      <c r="B2160" s="3" t="s">
        <v>177</v>
      </c>
      <c r="C2160" s="3">
        <v>10</v>
      </c>
      <c r="D2160" s="3">
        <v>10</v>
      </c>
      <c r="E2160" s="3">
        <v>9</v>
      </c>
      <c r="F2160" s="3">
        <v>1</v>
      </c>
      <c r="G2160" s="3">
        <v>0</v>
      </c>
    </row>
    <row r="2161" spans="1:7" x14ac:dyDescent="0.25">
      <c r="A2161" t="s">
        <v>106</v>
      </c>
      <c r="B2161" t="s">
        <v>2</v>
      </c>
      <c r="C2161">
        <v>5</v>
      </c>
      <c r="D2161">
        <v>5</v>
      </c>
      <c r="E2161">
        <v>3</v>
      </c>
      <c r="F2161">
        <v>2</v>
      </c>
      <c r="G2161">
        <v>0</v>
      </c>
    </row>
    <row r="2162" spans="1:7" x14ac:dyDescent="0.25">
      <c r="A2162" s="3" t="s">
        <v>106</v>
      </c>
      <c r="B2162" s="3" t="s">
        <v>2</v>
      </c>
      <c r="C2162" s="3">
        <v>3</v>
      </c>
      <c r="D2162" s="3">
        <v>2</v>
      </c>
      <c r="E2162" s="3">
        <v>2</v>
      </c>
      <c r="F2162" s="3">
        <v>0</v>
      </c>
      <c r="G2162" s="3">
        <v>0</v>
      </c>
    </row>
    <row r="2163" spans="1:7" x14ac:dyDescent="0.25">
      <c r="A2163" t="s">
        <v>106</v>
      </c>
      <c r="B2163" t="s">
        <v>4</v>
      </c>
      <c r="C2163">
        <v>1</v>
      </c>
      <c r="D2163">
        <v>0</v>
      </c>
      <c r="E2163">
        <v>0</v>
      </c>
      <c r="F2163">
        <v>0</v>
      </c>
      <c r="G2163">
        <v>0</v>
      </c>
    </row>
    <row r="2164" spans="1:7" x14ac:dyDescent="0.25">
      <c r="A2164" t="s">
        <v>106</v>
      </c>
      <c r="B2164" t="s">
        <v>5</v>
      </c>
      <c r="C2164">
        <v>37</v>
      </c>
      <c r="D2164">
        <v>37</v>
      </c>
      <c r="E2164">
        <f>33+1</f>
        <v>34</v>
      </c>
      <c r="F2164">
        <f>4-1+0</f>
        <v>3</v>
      </c>
      <c r="G2164">
        <v>0</v>
      </c>
    </row>
    <row r="2165" spans="1:7" x14ac:dyDescent="0.25">
      <c r="A2165" s="3" t="s">
        <v>106</v>
      </c>
      <c r="B2165" s="3" t="s">
        <v>5</v>
      </c>
      <c r="C2165" s="3">
        <v>18</v>
      </c>
      <c r="D2165" s="3">
        <v>18</v>
      </c>
      <c r="E2165" s="3">
        <v>18</v>
      </c>
      <c r="F2165" s="3">
        <v>0</v>
      </c>
      <c r="G2165" s="3">
        <v>0</v>
      </c>
    </row>
    <row r="2166" spans="1:7" x14ac:dyDescent="0.25">
      <c r="A2166" t="s">
        <v>106</v>
      </c>
      <c r="B2166" t="s">
        <v>185</v>
      </c>
      <c r="C2166">
        <f>42+3</f>
        <v>45</v>
      </c>
      <c r="D2166">
        <f>41+2</f>
        <v>43</v>
      </c>
      <c r="E2166">
        <f>35+2</f>
        <v>37</v>
      </c>
      <c r="F2166">
        <f>8-2+0</f>
        <v>6</v>
      </c>
      <c r="G2166">
        <v>0</v>
      </c>
    </row>
    <row r="2167" spans="1:7" x14ac:dyDescent="0.25">
      <c r="A2167" s="3" t="s">
        <v>106</v>
      </c>
      <c r="B2167" s="3" t="s">
        <v>185</v>
      </c>
      <c r="C2167" s="3">
        <v>14</v>
      </c>
      <c r="D2167" s="3">
        <v>14</v>
      </c>
      <c r="E2167" s="3">
        <v>14</v>
      </c>
      <c r="F2167" s="3">
        <v>0</v>
      </c>
      <c r="G2167" s="3">
        <v>0</v>
      </c>
    </row>
    <row r="2168" spans="1:7" x14ac:dyDescent="0.25">
      <c r="A2168" t="s">
        <v>106</v>
      </c>
      <c r="B2168" t="s">
        <v>186</v>
      </c>
      <c r="C2168">
        <f>69+2</f>
        <v>71</v>
      </c>
      <c r="D2168">
        <f>66+2</f>
        <v>68</v>
      </c>
      <c r="E2168">
        <f>39+2</f>
        <v>41</v>
      </c>
      <c r="F2168">
        <v>27</v>
      </c>
      <c r="G2168">
        <v>0</v>
      </c>
    </row>
    <row r="2169" spans="1:7" x14ac:dyDescent="0.25">
      <c r="A2169" s="3" t="s">
        <v>106</v>
      </c>
      <c r="B2169" s="3" t="s">
        <v>186</v>
      </c>
      <c r="C2169" s="3">
        <v>51</v>
      </c>
      <c r="D2169" s="3">
        <v>49</v>
      </c>
      <c r="E2169" s="3">
        <f>37+5</f>
        <v>42</v>
      </c>
      <c r="F2169" s="3">
        <f>12-5+0</f>
        <v>7</v>
      </c>
      <c r="G2169" s="3">
        <v>0</v>
      </c>
    </row>
    <row r="2170" spans="1:7" x14ac:dyDescent="0.25">
      <c r="A2170" t="s">
        <v>106</v>
      </c>
      <c r="B2170" t="s">
        <v>187</v>
      </c>
      <c r="C2170">
        <v>55</v>
      </c>
      <c r="D2170">
        <v>55</v>
      </c>
      <c r="E2170">
        <f>47+3</f>
        <v>50</v>
      </c>
      <c r="F2170">
        <f>8-5+2</f>
        <v>5</v>
      </c>
      <c r="G2170">
        <v>0</v>
      </c>
    </row>
    <row r="2171" spans="1:7" x14ac:dyDescent="0.25">
      <c r="A2171" s="3" t="s">
        <v>106</v>
      </c>
      <c r="B2171" s="3" t="s">
        <v>187</v>
      </c>
      <c r="C2171" s="3">
        <v>31</v>
      </c>
      <c r="D2171" s="3">
        <v>29</v>
      </c>
      <c r="E2171" s="3">
        <v>27</v>
      </c>
      <c r="F2171" s="3">
        <v>2</v>
      </c>
      <c r="G2171" s="3">
        <v>1</v>
      </c>
    </row>
    <row r="2172" spans="1:7" x14ac:dyDescent="0.25">
      <c r="A2172" t="s">
        <v>106</v>
      </c>
      <c r="B2172" t="s">
        <v>6</v>
      </c>
      <c r="C2172">
        <v>104</v>
      </c>
      <c r="D2172">
        <v>104</v>
      </c>
      <c r="E2172">
        <v>104</v>
      </c>
      <c r="F2172">
        <v>0</v>
      </c>
      <c r="G2172">
        <v>0</v>
      </c>
    </row>
    <row r="2173" spans="1:7" x14ac:dyDescent="0.25">
      <c r="A2173" s="3" t="s">
        <v>106</v>
      </c>
      <c r="B2173" s="3" t="s">
        <v>6</v>
      </c>
      <c r="C2173" s="3">
        <v>26</v>
      </c>
      <c r="D2173" s="3">
        <v>26</v>
      </c>
      <c r="E2173" s="3">
        <v>26</v>
      </c>
      <c r="F2173" s="3">
        <v>0</v>
      </c>
      <c r="G2173" s="3">
        <v>0</v>
      </c>
    </row>
    <row r="2174" spans="1:7" x14ac:dyDescent="0.25">
      <c r="A2174" t="s">
        <v>106</v>
      </c>
      <c r="B2174" t="s">
        <v>8</v>
      </c>
      <c r="C2174">
        <v>10</v>
      </c>
      <c r="D2174">
        <v>10</v>
      </c>
      <c r="E2174">
        <v>7</v>
      </c>
      <c r="F2174">
        <v>3</v>
      </c>
      <c r="G2174">
        <v>0</v>
      </c>
    </row>
    <row r="2175" spans="1:7" x14ac:dyDescent="0.25">
      <c r="A2175" t="s">
        <v>106</v>
      </c>
      <c r="B2175" t="s">
        <v>9</v>
      </c>
      <c r="C2175">
        <v>4</v>
      </c>
      <c r="D2175">
        <v>4</v>
      </c>
      <c r="E2175">
        <v>1</v>
      </c>
      <c r="F2175">
        <v>3</v>
      </c>
      <c r="G2175">
        <v>0</v>
      </c>
    </row>
    <row r="2176" spans="1:7" x14ac:dyDescent="0.25">
      <c r="A2176" t="s">
        <v>106</v>
      </c>
      <c r="B2176" t="s">
        <v>10</v>
      </c>
      <c r="C2176">
        <v>57</v>
      </c>
      <c r="D2176">
        <v>57</v>
      </c>
      <c r="E2176">
        <v>54</v>
      </c>
      <c r="F2176">
        <v>3</v>
      </c>
      <c r="G2176">
        <v>0</v>
      </c>
    </row>
    <row r="2177" spans="1:7" x14ac:dyDescent="0.25">
      <c r="A2177" s="3" t="s">
        <v>106</v>
      </c>
      <c r="B2177" s="3" t="s">
        <v>10</v>
      </c>
      <c r="C2177" s="3">
        <v>25</v>
      </c>
      <c r="D2177" s="3">
        <v>23</v>
      </c>
      <c r="E2177" s="3">
        <v>20</v>
      </c>
      <c r="F2177" s="3">
        <v>3</v>
      </c>
      <c r="G2177" s="3">
        <v>0</v>
      </c>
    </row>
    <row r="2178" spans="1:7" x14ac:dyDescent="0.25">
      <c r="A2178" t="s">
        <v>106</v>
      </c>
      <c r="B2178" t="s">
        <v>177</v>
      </c>
      <c r="C2178">
        <v>30</v>
      </c>
      <c r="D2178">
        <v>30</v>
      </c>
      <c r="E2178">
        <v>29</v>
      </c>
      <c r="F2178">
        <v>1</v>
      </c>
      <c r="G2178">
        <v>0</v>
      </c>
    </row>
    <row r="2179" spans="1:7" x14ac:dyDescent="0.25">
      <c r="A2179" s="3" t="s">
        <v>106</v>
      </c>
      <c r="B2179" s="3" t="s">
        <v>177</v>
      </c>
      <c r="C2179" s="3">
        <v>6</v>
      </c>
      <c r="D2179" s="3">
        <v>6</v>
      </c>
      <c r="E2179" s="3">
        <v>6</v>
      </c>
      <c r="F2179" s="3">
        <v>0</v>
      </c>
      <c r="G2179" s="3">
        <v>0</v>
      </c>
    </row>
    <row r="2180" spans="1:7" x14ac:dyDescent="0.25">
      <c r="A2180" t="s">
        <v>165</v>
      </c>
      <c r="B2180" t="s">
        <v>2</v>
      </c>
      <c r="C2180">
        <v>1</v>
      </c>
      <c r="D2180">
        <v>1</v>
      </c>
      <c r="E2180">
        <v>1</v>
      </c>
      <c r="F2180">
        <v>0</v>
      </c>
      <c r="G2180">
        <v>0</v>
      </c>
    </row>
    <row r="2181" spans="1:7" x14ac:dyDescent="0.25">
      <c r="A2181" t="s">
        <v>165</v>
      </c>
      <c r="B2181" t="s">
        <v>27</v>
      </c>
      <c r="C2181">
        <v>1</v>
      </c>
      <c r="D2181">
        <v>0</v>
      </c>
      <c r="E2181">
        <v>0</v>
      </c>
      <c r="F2181">
        <v>0</v>
      </c>
      <c r="G2181">
        <v>0</v>
      </c>
    </row>
    <row r="2182" spans="1:7" x14ac:dyDescent="0.25">
      <c r="A2182" t="s">
        <v>165</v>
      </c>
      <c r="B2182" t="s">
        <v>5</v>
      </c>
      <c r="C2182">
        <v>3</v>
      </c>
      <c r="D2182">
        <v>3</v>
      </c>
      <c r="E2182">
        <v>1</v>
      </c>
      <c r="F2182">
        <v>2</v>
      </c>
      <c r="G2182">
        <v>0</v>
      </c>
    </row>
    <row r="2183" spans="1:7" x14ac:dyDescent="0.25">
      <c r="A2183" s="3" t="s">
        <v>165</v>
      </c>
      <c r="B2183" s="3" t="s">
        <v>5</v>
      </c>
      <c r="C2183" s="3">
        <v>3</v>
      </c>
      <c r="D2183" s="3">
        <v>3</v>
      </c>
      <c r="E2183" s="3">
        <v>3</v>
      </c>
      <c r="F2183" s="3">
        <v>0</v>
      </c>
      <c r="G2183" s="3">
        <v>0</v>
      </c>
    </row>
    <row r="2184" spans="1:7" x14ac:dyDescent="0.25">
      <c r="A2184" t="s">
        <v>165</v>
      </c>
      <c r="B2184" t="s">
        <v>185</v>
      </c>
      <c r="C2184">
        <f>9+1</f>
        <v>10</v>
      </c>
      <c r="D2184">
        <f>9+1</f>
        <v>10</v>
      </c>
      <c r="E2184">
        <f>8+1</f>
        <v>9</v>
      </c>
      <c r="F2184">
        <v>1</v>
      </c>
      <c r="G2184">
        <v>0</v>
      </c>
    </row>
    <row r="2185" spans="1:7" x14ac:dyDescent="0.25">
      <c r="A2185" s="3" t="s">
        <v>165</v>
      </c>
      <c r="B2185" s="3" t="s">
        <v>185</v>
      </c>
      <c r="C2185" s="3">
        <v>5</v>
      </c>
      <c r="D2185" s="3">
        <v>5</v>
      </c>
      <c r="E2185" s="3">
        <v>5</v>
      </c>
      <c r="F2185" s="3">
        <v>0</v>
      </c>
      <c r="G2185" s="3">
        <v>0</v>
      </c>
    </row>
    <row r="2186" spans="1:7" x14ac:dyDescent="0.25">
      <c r="A2186" t="s">
        <v>165</v>
      </c>
      <c r="B2186" t="s">
        <v>186</v>
      </c>
      <c r="C2186">
        <v>14</v>
      </c>
      <c r="D2186">
        <v>14</v>
      </c>
      <c r="E2186">
        <v>14</v>
      </c>
      <c r="F2186">
        <v>0</v>
      </c>
      <c r="G2186">
        <v>0</v>
      </c>
    </row>
    <row r="2187" spans="1:7" x14ac:dyDescent="0.25">
      <c r="A2187" s="3" t="s">
        <v>165</v>
      </c>
      <c r="B2187" s="3" t="s">
        <v>186</v>
      </c>
      <c r="C2187" s="3">
        <v>4</v>
      </c>
      <c r="D2187" s="3">
        <v>3</v>
      </c>
      <c r="E2187" s="3">
        <v>3</v>
      </c>
      <c r="F2187" s="3">
        <v>0</v>
      </c>
      <c r="G2187" s="3">
        <v>1</v>
      </c>
    </row>
    <row r="2188" spans="1:7" x14ac:dyDescent="0.25">
      <c r="A2188" t="s">
        <v>165</v>
      </c>
      <c r="B2188" t="s">
        <v>187</v>
      </c>
      <c r="C2188">
        <v>13</v>
      </c>
      <c r="D2188">
        <v>13</v>
      </c>
      <c r="E2188">
        <v>13</v>
      </c>
      <c r="F2188">
        <v>0</v>
      </c>
      <c r="G2188">
        <v>0</v>
      </c>
    </row>
    <row r="2189" spans="1:7" x14ac:dyDescent="0.25">
      <c r="A2189" s="3" t="s">
        <v>165</v>
      </c>
      <c r="B2189" s="3" t="s">
        <v>187</v>
      </c>
      <c r="C2189" s="3">
        <v>11</v>
      </c>
      <c r="D2189" s="3">
        <v>11</v>
      </c>
      <c r="E2189" s="3">
        <v>10</v>
      </c>
      <c r="F2189" s="3">
        <v>1</v>
      </c>
      <c r="G2189" s="3">
        <v>0</v>
      </c>
    </row>
    <row r="2190" spans="1:7" x14ac:dyDescent="0.25">
      <c r="A2190" t="s">
        <v>165</v>
      </c>
      <c r="B2190" t="s">
        <v>6</v>
      </c>
      <c r="C2190">
        <v>1</v>
      </c>
      <c r="D2190">
        <v>1</v>
      </c>
      <c r="E2190">
        <v>1</v>
      </c>
      <c r="F2190">
        <v>0</v>
      </c>
      <c r="G2190">
        <v>0</v>
      </c>
    </row>
    <row r="2191" spans="1:7" x14ac:dyDescent="0.25">
      <c r="A2191" s="3" t="s">
        <v>165</v>
      </c>
      <c r="B2191" s="3" t="s">
        <v>6</v>
      </c>
      <c r="C2191" s="3">
        <v>4</v>
      </c>
      <c r="D2191" s="3">
        <v>4</v>
      </c>
      <c r="E2191" s="3">
        <v>4</v>
      </c>
      <c r="F2191" s="3">
        <v>0</v>
      </c>
      <c r="G2191" s="3">
        <v>0</v>
      </c>
    </row>
    <row r="2192" spans="1:7" x14ac:dyDescent="0.25">
      <c r="A2192" t="s">
        <v>165</v>
      </c>
      <c r="B2192" t="s">
        <v>8</v>
      </c>
      <c r="C2192">
        <v>1</v>
      </c>
      <c r="D2192">
        <v>1</v>
      </c>
      <c r="E2192">
        <v>1</v>
      </c>
      <c r="F2192">
        <v>0</v>
      </c>
      <c r="G2192">
        <v>0</v>
      </c>
    </row>
    <row r="2193" spans="1:7" x14ac:dyDescent="0.25">
      <c r="A2193" s="3" t="s">
        <v>165</v>
      </c>
      <c r="B2193" s="3" t="s">
        <v>9</v>
      </c>
      <c r="C2193" s="3">
        <v>2</v>
      </c>
      <c r="D2193" s="3">
        <v>1</v>
      </c>
      <c r="E2193" s="3">
        <v>1</v>
      </c>
      <c r="F2193" s="3">
        <v>0</v>
      </c>
      <c r="G2193" s="3">
        <v>1</v>
      </c>
    </row>
    <row r="2194" spans="1:7" x14ac:dyDescent="0.25">
      <c r="A2194" t="s">
        <v>165</v>
      </c>
      <c r="B2194" t="s">
        <v>10</v>
      </c>
      <c r="C2194">
        <v>16</v>
      </c>
      <c r="D2194">
        <v>16</v>
      </c>
      <c r="E2194">
        <v>13</v>
      </c>
      <c r="F2194">
        <v>3</v>
      </c>
      <c r="G2194">
        <v>0</v>
      </c>
    </row>
    <row r="2195" spans="1:7" x14ac:dyDescent="0.25">
      <c r="A2195" s="3" t="s">
        <v>165</v>
      </c>
      <c r="B2195" s="3" t="s">
        <v>10</v>
      </c>
      <c r="C2195" s="3">
        <v>16</v>
      </c>
      <c r="D2195" s="3">
        <v>16</v>
      </c>
      <c r="E2195" s="3">
        <v>15</v>
      </c>
      <c r="F2195" s="3">
        <v>1</v>
      </c>
      <c r="G2195" s="3">
        <v>0</v>
      </c>
    </row>
    <row r="2196" spans="1:7" x14ac:dyDescent="0.25">
      <c r="A2196" t="s">
        <v>165</v>
      </c>
      <c r="B2196" t="s">
        <v>177</v>
      </c>
      <c r="C2196">
        <v>2</v>
      </c>
      <c r="D2196">
        <v>2</v>
      </c>
      <c r="E2196">
        <v>2</v>
      </c>
      <c r="F2196">
        <v>0</v>
      </c>
      <c r="G2196">
        <v>0</v>
      </c>
    </row>
    <row r="2197" spans="1:7" x14ac:dyDescent="0.25">
      <c r="A2197" t="s">
        <v>162</v>
      </c>
      <c r="B2197" t="s">
        <v>2</v>
      </c>
      <c r="C2197">
        <v>2</v>
      </c>
      <c r="D2197">
        <v>1</v>
      </c>
      <c r="E2197">
        <v>1</v>
      </c>
      <c r="F2197">
        <v>0</v>
      </c>
      <c r="G2197">
        <v>0</v>
      </c>
    </row>
    <row r="2198" spans="1:7" x14ac:dyDescent="0.25">
      <c r="A2198" t="s">
        <v>162</v>
      </c>
      <c r="B2198" t="s">
        <v>5</v>
      </c>
      <c r="C2198">
        <v>14</v>
      </c>
      <c r="D2198">
        <v>14</v>
      </c>
      <c r="E2198">
        <v>10</v>
      </c>
      <c r="F2198">
        <v>4</v>
      </c>
      <c r="G2198">
        <v>0</v>
      </c>
    </row>
    <row r="2199" spans="1:7" x14ac:dyDescent="0.25">
      <c r="A2199" s="3" t="s">
        <v>162</v>
      </c>
      <c r="B2199" s="3" t="s">
        <v>5</v>
      </c>
      <c r="C2199" s="3">
        <v>13</v>
      </c>
      <c r="D2199" s="3">
        <v>13</v>
      </c>
      <c r="E2199" s="3">
        <v>12</v>
      </c>
      <c r="F2199" s="3">
        <v>1</v>
      </c>
      <c r="G2199" s="3">
        <v>0</v>
      </c>
    </row>
    <row r="2200" spans="1:7" x14ac:dyDescent="0.25">
      <c r="A2200" t="s">
        <v>162</v>
      </c>
      <c r="B2200" t="s">
        <v>185</v>
      </c>
      <c r="C2200">
        <f>13+1</f>
        <v>14</v>
      </c>
      <c r="D2200">
        <f>13+1</f>
        <v>14</v>
      </c>
      <c r="E2200">
        <f>8+3</f>
        <v>11</v>
      </c>
      <c r="F2200">
        <f>6-5+2</f>
        <v>3</v>
      </c>
      <c r="G2200">
        <v>0</v>
      </c>
    </row>
    <row r="2201" spans="1:7" x14ac:dyDescent="0.25">
      <c r="A2201" s="3" t="s">
        <v>162</v>
      </c>
      <c r="B2201" s="3" t="s">
        <v>185</v>
      </c>
      <c r="C2201" s="3">
        <v>4</v>
      </c>
      <c r="D2201" s="3">
        <v>4</v>
      </c>
      <c r="E2201" s="3">
        <v>3</v>
      </c>
      <c r="F2201" s="3">
        <v>1</v>
      </c>
      <c r="G2201" s="3">
        <v>0</v>
      </c>
    </row>
    <row r="2202" spans="1:7" x14ac:dyDescent="0.25">
      <c r="A2202" t="s">
        <v>162</v>
      </c>
      <c r="B2202" t="s">
        <v>186</v>
      </c>
      <c r="C2202">
        <f>25+1</f>
        <v>26</v>
      </c>
      <c r="D2202">
        <f>24+1</f>
        <v>25</v>
      </c>
      <c r="E2202">
        <f>12+4</f>
        <v>16</v>
      </c>
      <c r="F2202">
        <f>13-5+1</f>
        <v>9</v>
      </c>
      <c r="G2202">
        <v>0</v>
      </c>
    </row>
    <row r="2203" spans="1:7" x14ac:dyDescent="0.25">
      <c r="A2203" s="3" t="s">
        <v>162</v>
      </c>
      <c r="B2203" s="3" t="s">
        <v>186</v>
      </c>
      <c r="C2203" s="3">
        <v>7</v>
      </c>
      <c r="D2203" s="3">
        <v>5</v>
      </c>
      <c r="E2203" s="3">
        <v>3</v>
      </c>
      <c r="F2203" s="3">
        <v>2</v>
      </c>
      <c r="G2203" s="3">
        <v>0</v>
      </c>
    </row>
    <row r="2204" spans="1:7" x14ac:dyDescent="0.25">
      <c r="A2204" t="s">
        <v>162</v>
      </c>
      <c r="B2204" t="s">
        <v>187</v>
      </c>
      <c r="C2204">
        <v>43</v>
      </c>
      <c r="D2204">
        <v>43</v>
      </c>
      <c r="E2204">
        <v>33</v>
      </c>
      <c r="F2204">
        <v>10</v>
      </c>
      <c r="G2204">
        <v>0</v>
      </c>
    </row>
    <row r="2205" spans="1:7" x14ac:dyDescent="0.25">
      <c r="A2205" s="3" t="s">
        <v>162</v>
      </c>
      <c r="B2205" s="3" t="s">
        <v>187</v>
      </c>
      <c r="C2205" s="3">
        <v>26</v>
      </c>
      <c r="D2205" s="3">
        <v>26</v>
      </c>
      <c r="E2205" s="3">
        <f>14+6</f>
        <v>20</v>
      </c>
      <c r="F2205" s="3">
        <f>12-6+0</f>
        <v>6</v>
      </c>
      <c r="G2205" s="3">
        <v>0</v>
      </c>
    </row>
    <row r="2206" spans="1:7" x14ac:dyDescent="0.25">
      <c r="A2206" t="s">
        <v>162</v>
      </c>
      <c r="B2206" t="s">
        <v>6</v>
      </c>
      <c r="C2206">
        <v>11</v>
      </c>
      <c r="D2206">
        <v>11</v>
      </c>
      <c r="E2206">
        <v>11</v>
      </c>
      <c r="F2206">
        <v>0</v>
      </c>
      <c r="G2206">
        <v>0</v>
      </c>
    </row>
    <row r="2207" spans="1:7" x14ac:dyDescent="0.25">
      <c r="A2207" s="3" t="s">
        <v>162</v>
      </c>
      <c r="B2207" s="3" t="s">
        <v>6</v>
      </c>
      <c r="C2207" s="3">
        <v>1</v>
      </c>
      <c r="D2207" s="3">
        <v>1</v>
      </c>
      <c r="E2207" s="3">
        <v>1</v>
      </c>
      <c r="F2207" s="3">
        <v>0</v>
      </c>
      <c r="G2207" s="3">
        <v>0</v>
      </c>
    </row>
    <row r="2208" spans="1:7" x14ac:dyDescent="0.25">
      <c r="A2208" t="s">
        <v>162</v>
      </c>
      <c r="B2208" t="s">
        <v>7</v>
      </c>
      <c r="C2208">
        <v>5</v>
      </c>
      <c r="D2208">
        <v>4</v>
      </c>
      <c r="E2208">
        <v>3</v>
      </c>
      <c r="F2208">
        <v>1</v>
      </c>
      <c r="G2208">
        <v>0</v>
      </c>
    </row>
    <row r="2209" spans="1:7" x14ac:dyDescent="0.25">
      <c r="A2209" t="s">
        <v>162</v>
      </c>
      <c r="B2209" t="s">
        <v>8</v>
      </c>
      <c r="C2209">
        <v>7</v>
      </c>
      <c r="D2209">
        <v>7</v>
      </c>
      <c r="E2209">
        <v>7</v>
      </c>
      <c r="F2209">
        <v>0</v>
      </c>
      <c r="G2209">
        <v>0</v>
      </c>
    </row>
    <row r="2210" spans="1:7" x14ac:dyDescent="0.25">
      <c r="A2210" s="3" t="s">
        <v>162</v>
      </c>
      <c r="B2210" s="3" t="s">
        <v>8</v>
      </c>
      <c r="C2210" s="3">
        <v>2</v>
      </c>
      <c r="D2210" s="3">
        <v>2</v>
      </c>
      <c r="E2210" s="3">
        <v>2</v>
      </c>
      <c r="F2210" s="3">
        <v>0</v>
      </c>
      <c r="G2210" s="3">
        <v>0</v>
      </c>
    </row>
    <row r="2211" spans="1:7" x14ac:dyDescent="0.25">
      <c r="A2211" t="s">
        <v>162</v>
      </c>
      <c r="B2211" t="s">
        <v>9</v>
      </c>
      <c r="C2211">
        <v>3</v>
      </c>
      <c r="D2211">
        <v>3</v>
      </c>
      <c r="E2211">
        <v>3</v>
      </c>
      <c r="F2211">
        <v>0</v>
      </c>
      <c r="G2211">
        <v>0</v>
      </c>
    </row>
    <row r="2212" spans="1:7" x14ac:dyDescent="0.25">
      <c r="A2212" s="3" t="s">
        <v>162</v>
      </c>
      <c r="B2212" s="3" t="s">
        <v>9</v>
      </c>
      <c r="C2212" s="3">
        <v>1</v>
      </c>
      <c r="D2212" s="3">
        <v>1</v>
      </c>
      <c r="E2212" s="3">
        <v>0</v>
      </c>
      <c r="F2212" s="3">
        <v>1</v>
      </c>
      <c r="G2212" s="3">
        <v>0</v>
      </c>
    </row>
    <row r="2213" spans="1:7" x14ac:dyDescent="0.25">
      <c r="A2213" t="s">
        <v>162</v>
      </c>
      <c r="B2213" t="s">
        <v>10</v>
      </c>
      <c r="C2213">
        <v>14</v>
      </c>
      <c r="D2213">
        <v>14</v>
      </c>
      <c r="E2213">
        <v>13</v>
      </c>
      <c r="F2213">
        <v>1</v>
      </c>
      <c r="G2213">
        <v>0</v>
      </c>
    </row>
    <row r="2214" spans="1:7" x14ac:dyDescent="0.25">
      <c r="A2214" s="3" t="s">
        <v>162</v>
      </c>
      <c r="B2214" s="3" t="s">
        <v>10</v>
      </c>
      <c r="C2214" s="3">
        <v>17</v>
      </c>
      <c r="D2214" s="3">
        <v>17</v>
      </c>
      <c r="E2214" s="3">
        <v>13</v>
      </c>
      <c r="F2214" s="3">
        <v>4</v>
      </c>
      <c r="G2214" s="3">
        <v>0</v>
      </c>
    </row>
    <row r="2215" spans="1:7" x14ac:dyDescent="0.25">
      <c r="A2215" t="s">
        <v>162</v>
      </c>
      <c r="B2215" t="s">
        <v>177</v>
      </c>
      <c r="C2215">
        <v>15</v>
      </c>
      <c r="D2215">
        <v>15</v>
      </c>
      <c r="E2215">
        <v>13</v>
      </c>
      <c r="F2215">
        <v>2</v>
      </c>
      <c r="G2215">
        <v>0</v>
      </c>
    </row>
    <row r="2216" spans="1:7" x14ac:dyDescent="0.25">
      <c r="A2216" s="3" t="s">
        <v>162</v>
      </c>
      <c r="B2216" s="3" t="s">
        <v>177</v>
      </c>
      <c r="C2216" s="3">
        <v>9</v>
      </c>
      <c r="D2216" s="3">
        <v>9</v>
      </c>
      <c r="E2216" s="3">
        <v>9</v>
      </c>
      <c r="F2216" s="3">
        <v>0</v>
      </c>
      <c r="G2216" s="3">
        <v>0</v>
      </c>
    </row>
    <row r="2217" spans="1:7" x14ac:dyDescent="0.25">
      <c r="A2217" t="s">
        <v>75</v>
      </c>
      <c r="B2217" t="s">
        <v>2</v>
      </c>
      <c r="C2217">
        <v>9</v>
      </c>
      <c r="D2217">
        <v>8</v>
      </c>
      <c r="E2217">
        <f>5+2</f>
        <v>7</v>
      </c>
      <c r="F2217">
        <f>3-2+0</f>
        <v>1</v>
      </c>
      <c r="G2217">
        <v>0</v>
      </c>
    </row>
    <row r="2218" spans="1:7" x14ac:dyDescent="0.25">
      <c r="A2218" s="3" t="s">
        <v>75</v>
      </c>
      <c r="B2218" s="3" t="s">
        <v>2</v>
      </c>
      <c r="C2218" s="3">
        <v>1</v>
      </c>
      <c r="D2218" s="3">
        <v>1</v>
      </c>
      <c r="E2218" s="3">
        <v>1</v>
      </c>
      <c r="F2218" s="3">
        <v>0</v>
      </c>
      <c r="G2218" s="3">
        <v>0</v>
      </c>
    </row>
    <row r="2219" spans="1:7" x14ac:dyDescent="0.25">
      <c r="A2219" t="s">
        <v>75</v>
      </c>
      <c r="B2219" t="s">
        <v>4</v>
      </c>
      <c r="C2219">
        <v>7</v>
      </c>
      <c r="D2219">
        <v>0</v>
      </c>
      <c r="E2219">
        <v>0</v>
      </c>
      <c r="F2219">
        <v>0</v>
      </c>
      <c r="G2219">
        <v>0</v>
      </c>
    </row>
    <row r="2220" spans="1:7" x14ac:dyDescent="0.25">
      <c r="A2220" s="3" t="s">
        <v>75</v>
      </c>
      <c r="B2220" s="3" t="s">
        <v>4</v>
      </c>
      <c r="C2220" s="3">
        <v>5</v>
      </c>
      <c r="D2220" s="3">
        <v>0</v>
      </c>
      <c r="E2220" s="3">
        <v>0</v>
      </c>
      <c r="F2220" s="3">
        <v>0</v>
      </c>
      <c r="G2220" s="3">
        <v>0</v>
      </c>
    </row>
    <row r="2221" spans="1:7" x14ac:dyDescent="0.25">
      <c r="A2221" t="s">
        <v>75</v>
      </c>
      <c r="B2221" t="s">
        <v>5</v>
      </c>
      <c r="C2221">
        <v>29</v>
      </c>
      <c r="D2221">
        <v>29</v>
      </c>
      <c r="E2221">
        <f>22+7</f>
        <v>29</v>
      </c>
      <c r="F2221">
        <f>7-8+1</f>
        <v>0</v>
      </c>
      <c r="G2221">
        <v>0</v>
      </c>
    </row>
    <row r="2222" spans="1:7" x14ac:dyDescent="0.25">
      <c r="A2222" s="3" t="s">
        <v>75</v>
      </c>
      <c r="B2222" s="3" t="s">
        <v>5</v>
      </c>
      <c r="C2222" s="3">
        <v>36</v>
      </c>
      <c r="D2222" s="3">
        <v>36</v>
      </c>
      <c r="E2222" s="3">
        <v>31</v>
      </c>
      <c r="F2222" s="3">
        <v>5</v>
      </c>
      <c r="G2222" s="3">
        <v>0</v>
      </c>
    </row>
    <row r="2223" spans="1:7" x14ac:dyDescent="0.25">
      <c r="A2223" t="s">
        <v>75</v>
      </c>
      <c r="B2223" t="s">
        <v>185</v>
      </c>
      <c r="C2223">
        <f>79+19</f>
        <v>98</v>
      </c>
      <c r="D2223">
        <f>78+19</f>
        <v>97</v>
      </c>
      <c r="E2223">
        <f>62+19</f>
        <v>81</v>
      </c>
      <c r="F2223">
        <v>16</v>
      </c>
      <c r="G2223">
        <v>0</v>
      </c>
    </row>
    <row r="2224" spans="1:7" x14ac:dyDescent="0.25">
      <c r="A2224" s="3" t="s">
        <v>75</v>
      </c>
      <c r="B2224" s="3" t="s">
        <v>185</v>
      </c>
      <c r="C2224" s="3">
        <v>65</v>
      </c>
      <c r="D2224" s="3">
        <v>63</v>
      </c>
      <c r="E2224" s="3">
        <f>49+10</f>
        <v>59</v>
      </c>
      <c r="F2224" s="3">
        <f>14-12+2</f>
        <v>4</v>
      </c>
      <c r="G2224" s="3">
        <v>0</v>
      </c>
    </row>
    <row r="2225" spans="1:7" x14ac:dyDescent="0.25">
      <c r="A2225" t="s">
        <v>75</v>
      </c>
      <c r="B2225" t="s">
        <v>186</v>
      </c>
      <c r="C2225">
        <f>104+10</f>
        <v>114</v>
      </c>
      <c r="D2225">
        <f>104+10</f>
        <v>114</v>
      </c>
      <c r="E2225">
        <f>65+19</f>
        <v>84</v>
      </c>
      <c r="F2225">
        <f>49-37+18</f>
        <v>30</v>
      </c>
      <c r="G2225">
        <v>0</v>
      </c>
    </row>
    <row r="2226" spans="1:7" x14ac:dyDescent="0.25">
      <c r="A2226" s="3" t="s">
        <v>75</v>
      </c>
      <c r="B2226" s="3" t="s">
        <v>186</v>
      </c>
      <c r="C2226" s="3">
        <v>73</v>
      </c>
      <c r="D2226" s="3">
        <v>69</v>
      </c>
      <c r="E2226" s="3">
        <v>51</v>
      </c>
      <c r="F2226" s="3">
        <v>18</v>
      </c>
      <c r="G2226" s="3">
        <v>0</v>
      </c>
    </row>
    <row r="2227" spans="1:7" x14ac:dyDescent="0.25">
      <c r="A2227" s="3" t="s">
        <v>75</v>
      </c>
      <c r="B2227" s="3" t="s">
        <v>189</v>
      </c>
      <c r="C2227" s="3">
        <v>2</v>
      </c>
      <c r="D2227" s="3">
        <v>2</v>
      </c>
      <c r="E2227" s="3">
        <v>2</v>
      </c>
      <c r="F2227" s="3">
        <v>0</v>
      </c>
      <c r="G2227" s="3">
        <v>0</v>
      </c>
    </row>
    <row r="2228" spans="1:7" x14ac:dyDescent="0.25">
      <c r="A2228" t="s">
        <v>75</v>
      </c>
      <c r="B2228" t="s">
        <v>187</v>
      </c>
      <c r="C2228">
        <f>95+2</f>
        <v>97</v>
      </c>
      <c r="D2228">
        <f>95+2</f>
        <v>97</v>
      </c>
      <c r="E2228">
        <f>71+2</f>
        <v>73</v>
      </c>
      <c r="F2228">
        <v>24</v>
      </c>
      <c r="G2228">
        <v>0</v>
      </c>
    </row>
    <row r="2229" spans="1:7" x14ac:dyDescent="0.25">
      <c r="A2229" s="3" t="s">
        <v>75</v>
      </c>
      <c r="B2229" s="3" t="s">
        <v>187</v>
      </c>
      <c r="C2229" s="3">
        <v>88</v>
      </c>
      <c r="D2229" s="3">
        <v>88</v>
      </c>
      <c r="E2229" s="3">
        <f>74+6</f>
        <v>80</v>
      </c>
      <c r="F2229" s="3">
        <f>14-7+1</f>
        <v>8</v>
      </c>
      <c r="G2229" s="3">
        <v>0</v>
      </c>
    </row>
    <row r="2230" spans="1:7" x14ac:dyDescent="0.25">
      <c r="A2230" t="s">
        <v>75</v>
      </c>
      <c r="B2230" t="s">
        <v>6</v>
      </c>
      <c r="C2230">
        <v>21</v>
      </c>
      <c r="D2230">
        <v>21</v>
      </c>
      <c r="E2230">
        <v>19</v>
      </c>
      <c r="F2230">
        <v>2</v>
      </c>
      <c r="G2230">
        <v>0</v>
      </c>
    </row>
    <row r="2231" spans="1:7" x14ac:dyDescent="0.25">
      <c r="A2231" s="3" t="s">
        <v>75</v>
      </c>
      <c r="B2231" s="3" t="s">
        <v>6</v>
      </c>
      <c r="C2231" s="3">
        <v>7</v>
      </c>
      <c r="D2231" s="3">
        <v>3</v>
      </c>
      <c r="E2231" s="3">
        <v>3</v>
      </c>
      <c r="F2231" s="3">
        <v>0</v>
      </c>
      <c r="G2231" s="3">
        <v>0</v>
      </c>
    </row>
    <row r="2232" spans="1:7" x14ac:dyDescent="0.25">
      <c r="A2232" t="s">
        <v>75</v>
      </c>
      <c r="B2232" t="s">
        <v>7</v>
      </c>
      <c r="C2232">
        <v>17</v>
      </c>
      <c r="D2232">
        <v>14</v>
      </c>
      <c r="E2232">
        <v>12</v>
      </c>
      <c r="F2232">
        <v>2</v>
      </c>
      <c r="G2232">
        <v>0</v>
      </c>
    </row>
    <row r="2233" spans="1:7" x14ac:dyDescent="0.25">
      <c r="A2233" s="3" t="s">
        <v>75</v>
      </c>
      <c r="B2233" s="3" t="s">
        <v>7</v>
      </c>
      <c r="C2233" s="3">
        <v>8</v>
      </c>
      <c r="D2233" s="3">
        <v>7</v>
      </c>
      <c r="E2233" s="3">
        <v>7</v>
      </c>
      <c r="F2233" s="3">
        <v>0</v>
      </c>
      <c r="G2233" s="3">
        <v>0</v>
      </c>
    </row>
    <row r="2234" spans="1:7" x14ac:dyDescent="0.25">
      <c r="A2234" t="s">
        <v>75</v>
      </c>
      <c r="B2234" t="s">
        <v>8</v>
      </c>
      <c r="C2234">
        <v>30</v>
      </c>
      <c r="D2234">
        <v>29</v>
      </c>
      <c r="E2234">
        <v>28</v>
      </c>
      <c r="F2234">
        <v>1</v>
      </c>
      <c r="G2234">
        <v>0</v>
      </c>
    </row>
    <row r="2235" spans="1:7" x14ac:dyDescent="0.25">
      <c r="A2235" s="3" t="s">
        <v>75</v>
      </c>
      <c r="B2235" s="3" t="s">
        <v>8</v>
      </c>
      <c r="C2235" s="3">
        <v>35</v>
      </c>
      <c r="D2235" s="3">
        <v>35</v>
      </c>
      <c r="E2235" s="3">
        <v>34</v>
      </c>
      <c r="F2235" s="3">
        <v>1</v>
      </c>
      <c r="G2235" s="3">
        <v>0</v>
      </c>
    </row>
    <row r="2236" spans="1:7" x14ac:dyDescent="0.25">
      <c r="A2236" t="s">
        <v>75</v>
      </c>
      <c r="B2236" t="s">
        <v>9</v>
      </c>
      <c r="C2236">
        <v>22</v>
      </c>
      <c r="D2236">
        <v>22</v>
      </c>
      <c r="E2236">
        <v>20</v>
      </c>
      <c r="F2236">
        <v>2</v>
      </c>
      <c r="G2236">
        <v>0</v>
      </c>
    </row>
    <row r="2237" spans="1:7" x14ac:dyDescent="0.25">
      <c r="A2237" s="3" t="s">
        <v>75</v>
      </c>
      <c r="B2237" s="3" t="s">
        <v>9</v>
      </c>
      <c r="C2237" s="3">
        <v>1</v>
      </c>
      <c r="D2237" s="3">
        <v>0</v>
      </c>
      <c r="E2237" s="3">
        <v>0</v>
      </c>
      <c r="F2237" s="3">
        <v>0</v>
      </c>
      <c r="G2237" s="3">
        <v>0</v>
      </c>
    </row>
    <row r="2238" spans="1:7" x14ac:dyDescent="0.25">
      <c r="A2238" t="s">
        <v>75</v>
      </c>
      <c r="B2238" t="s">
        <v>10</v>
      </c>
      <c r="C2238">
        <v>90</v>
      </c>
      <c r="D2238">
        <v>90</v>
      </c>
      <c r="E2238">
        <v>87</v>
      </c>
      <c r="F2238">
        <v>3</v>
      </c>
      <c r="G2238">
        <v>0</v>
      </c>
    </row>
    <row r="2239" spans="1:7" x14ac:dyDescent="0.25">
      <c r="A2239" s="3" t="s">
        <v>75</v>
      </c>
      <c r="B2239" s="3" t="s">
        <v>10</v>
      </c>
      <c r="C2239" s="3">
        <v>87</v>
      </c>
      <c r="D2239" s="3">
        <v>87</v>
      </c>
      <c r="E2239" s="3">
        <v>82</v>
      </c>
      <c r="F2239" s="3">
        <v>5</v>
      </c>
      <c r="G2239" s="3">
        <v>0</v>
      </c>
    </row>
    <row r="2240" spans="1:7" x14ac:dyDescent="0.25">
      <c r="A2240" t="s">
        <v>75</v>
      </c>
      <c r="B2240" t="s">
        <v>177</v>
      </c>
      <c r="C2240">
        <v>38</v>
      </c>
      <c r="D2240">
        <v>38</v>
      </c>
      <c r="E2240">
        <v>28</v>
      </c>
      <c r="F2240">
        <v>10</v>
      </c>
      <c r="G2240">
        <v>0</v>
      </c>
    </row>
    <row r="2241" spans="1:7" x14ac:dyDescent="0.25">
      <c r="A2241" s="3" t="s">
        <v>75</v>
      </c>
      <c r="B2241" s="3" t="s">
        <v>177</v>
      </c>
      <c r="C2241" s="3">
        <v>22</v>
      </c>
      <c r="D2241" s="3">
        <v>22</v>
      </c>
      <c r="E2241" s="3">
        <v>20</v>
      </c>
      <c r="F2241" s="3">
        <v>2</v>
      </c>
      <c r="G2241" s="3">
        <v>0</v>
      </c>
    </row>
    <row r="2242" spans="1:7" x14ac:dyDescent="0.25">
      <c r="A2242" t="s">
        <v>139</v>
      </c>
      <c r="B2242" t="s">
        <v>5</v>
      </c>
      <c r="C2242">
        <v>6</v>
      </c>
      <c r="D2242">
        <v>6</v>
      </c>
      <c r="E2242">
        <v>6</v>
      </c>
      <c r="F2242">
        <v>0</v>
      </c>
      <c r="G2242">
        <v>0</v>
      </c>
    </row>
    <row r="2243" spans="1:7" x14ac:dyDescent="0.25">
      <c r="A2243" s="3" t="s">
        <v>139</v>
      </c>
      <c r="B2243" s="3" t="s">
        <v>5</v>
      </c>
      <c r="C2243" s="3">
        <v>4</v>
      </c>
      <c r="D2243" s="3">
        <v>4</v>
      </c>
      <c r="E2243" s="3">
        <v>4</v>
      </c>
      <c r="F2243" s="3">
        <v>0</v>
      </c>
      <c r="G2243" s="3">
        <v>0</v>
      </c>
    </row>
    <row r="2244" spans="1:7" x14ac:dyDescent="0.25">
      <c r="A2244" t="s">
        <v>139</v>
      </c>
      <c r="B2244" t="s">
        <v>185</v>
      </c>
      <c r="C2244">
        <f>13+1</f>
        <v>14</v>
      </c>
      <c r="D2244">
        <f>13+1</f>
        <v>14</v>
      </c>
      <c r="E2244">
        <f>12+1</f>
        <v>13</v>
      </c>
      <c r="F2244">
        <v>1</v>
      </c>
      <c r="G2244">
        <v>0</v>
      </c>
    </row>
    <row r="2245" spans="1:7" x14ac:dyDescent="0.25">
      <c r="A2245" s="3" t="s">
        <v>139</v>
      </c>
      <c r="B2245" s="3" t="s">
        <v>185</v>
      </c>
      <c r="C2245" s="3">
        <v>7</v>
      </c>
      <c r="D2245" s="3">
        <v>7</v>
      </c>
      <c r="E2245" s="3">
        <v>7</v>
      </c>
      <c r="F2245" s="3">
        <v>0</v>
      </c>
      <c r="G2245" s="3">
        <v>0</v>
      </c>
    </row>
    <row r="2246" spans="1:7" x14ac:dyDescent="0.25">
      <c r="A2246" t="s">
        <v>139</v>
      </c>
      <c r="B2246" t="s">
        <v>186</v>
      </c>
      <c r="C2246">
        <v>16</v>
      </c>
      <c r="D2246">
        <v>16</v>
      </c>
      <c r="E2246">
        <v>14</v>
      </c>
      <c r="F2246">
        <v>2</v>
      </c>
      <c r="G2246">
        <v>0</v>
      </c>
    </row>
    <row r="2247" spans="1:7" x14ac:dyDescent="0.25">
      <c r="A2247" s="3" t="s">
        <v>139</v>
      </c>
      <c r="B2247" s="3" t="s">
        <v>186</v>
      </c>
      <c r="C2247" s="3">
        <v>13</v>
      </c>
      <c r="D2247" s="3">
        <v>13</v>
      </c>
      <c r="E2247" s="3">
        <v>11</v>
      </c>
      <c r="F2247" s="3">
        <v>2</v>
      </c>
      <c r="G2247" s="3">
        <v>0</v>
      </c>
    </row>
    <row r="2248" spans="1:7" x14ac:dyDescent="0.25">
      <c r="A2248" t="s">
        <v>139</v>
      </c>
      <c r="B2248" t="s">
        <v>187</v>
      </c>
      <c r="C2248">
        <v>34</v>
      </c>
      <c r="D2248">
        <v>34</v>
      </c>
      <c r="E2248">
        <v>31</v>
      </c>
      <c r="F2248">
        <v>3</v>
      </c>
      <c r="G2248">
        <v>0</v>
      </c>
    </row>
    <row r="2249" spans="1:7" x14ac:dyDescent="0.25">
      <c r="A2249" s="3" t="s">
        <v>139</v>
      </c>
      <c r="B2249" s="3" t="s">
        <v>187</v>
      </c>
      <c r="C2249" s="3">
        <v>14</v>
      </c>
      <c r="D2249" s="3">
        <v>14</v>
      </c>
      <c r="E2249" s="3">
        <v>14</v>
      </c>
      <c r="F2249" s="3">
        <v>0</v>
      </c>
      <c r="G2249" s="3">
        <v>0</v>
      </c>
    </row>
    <row r="2250" spans="1:7" x14ac:dyDescent="0.25">
      <c r="A2250" s="3" t="s">
        <v>139</v>
      </c>
      <c r="B2250" s="3" t="s">
        <v>6</v>
      </c>
      <c r="C2250" s="3">
        <v>2</v>
      </c>
      <c r="D2250" s="3">
        <v>2</v>
      </c>
      <c r="E2250" s="3">
        <v>2</v>
      </c>
      <c r="F2250" s="3">
        <v>0</v>
      </c>
      <c r="G2250" s="3">
        <v>0</v>
      </c>
    </row>
    <row r="2251" spans="1:7" x14ac:dyDescent="0.25">
      <c r="A2251" t="s">
        <v>139</v>
      </c>
      <c r="B2251" t="s">
        <v>8</v>
      </c>
      <c r="C2251">
        <v>8</v>
      </c>
      <c r="D2251">
        <v>5</v>
      </c>
      <c r="E2251">
        <v>5</v>
      </c>
      <c r="F2251">
        <v>0</v>
      </c>
      <c r="G2251">
        <v>0</v>
      </c>
    </row>
    <row r="2252" spans="1:7" x14ac:dyDescent="0.25">
      <c r="A2252" s="3" t="s">
        <v>139</v>
      </c>
      <c r="B2252" s="3" t="s">
        <v>8</v>
      </c>
      <c r="C2252" s="3">
        <v>1</v>
      </c>
      <c r="D2252" s="3">
        <v>0</v>
      </c>
      <c r="E2252" s="3">
        <v>0</v>
      </c>
      <c r="F2252" s="3">
        <v>0</v>
      </c>
      <c r="G2252" s="3">
        <v>0</v>
      </c>
    </row>
    <row r="2253" spans="1:7" x14ac:dyDescent="0.25">
      <c r="A2253" t="s">
        <v>139</v>
      </c>
      <c r="B2253" t="s">
        <v>9</v>
      </c>
      <c r="C2253">
        <v>1</v>
      </c>
      <c r="D2253">
        <v>0</v>
      </c>
      <c r="E2253">
        <v>0</v>
      </c>
      <c r="F2253">
        <v>0</v>
      </c>
      <c r="G2253">
        <v>0</v>
      </c>
    </row>
    <row r="2254" spans="1:7" x14ac:dyDescent="0.25">
      <c r="A2254" t="s">
        <v>139</v>
      </c>
      <c r="B2254" t="s">
        <v>10</v>
      </c>
      <c r="C2254">
        <v>12</v>
      </c>
      <c r="D2254">
        <v>12</v>
      </c>
      <c r="E2254">
        <v>12</v>
      </c>
      <c r="F2254">
        <v>0</v>
      </c>
      <c r="G2254">
        <v>0</v>
      </c>
    </row>
    <row r="2255" spans="1:7" x14ac:dyDescent="0.25">
      <c r="A2255" s="3" t="s">
        <v>139</v>
      </c>
      <c r="B2255" s="3" t="s">
        <v>10</v>
      </c>
      <c r="C2255" s="3">
        <v>4</v>
      </c>
      <c r="D2255" s="3">
        <v>4</v>
      </c>
      <c r="E2255" s="3">
        <v>4</v>
      </c>
      <c r="F2255" s="3">
        <v>0</v>
      </c>
      <c r="G2255" s="3">
        <v>0</v>
      </c>
    </row>
    <row r="2256" spans="1:7" x14ac:dyDescent="0.25">
      <c r="A2256" t="s">
        <v>139</v>
      </c>
      <c r="B2256" t="s">
        <v>177</v>
      </c>
      <c r="C2256">
        <v>4</v>
      </c>
      <c r="D2256">
        <v>4</v>
      </c>
      <c r="E2256">
        <v>4</v>
      </c>
      <c r="F2256">
        <v>0</v>
      </c>
      <c r="G2256">
        <v>0</v>
      </c>
    </row>
    <row r="2257" spans="1:7" x14ac:dyDescent="0.25">
      <c r="A2257" s="3" t="s">
        <v>139</v>
      </c>
      <c r="B2257" s="3" t="s">
        <v>177</v>
      </c>
      <c r="C2257" s="3">
        <v>3</v>
      </c>
      <c r="D2257" s="3">
        <v>3</v>
      </c>
      <c r="E2257" s="3">
        <v>3</v>
      </c>
      <c r="F2257" s="3">
        <v>0</v>
      </c>
      <c r="G2257" s="3">
        <v>0</v>
      </c>
    </row>
    <row r="2258" spans="1:7" x14ac:dyDescent="0.25">
      <c r="A2258" t="s">
        <v>24</v>
      </c>
      <c r="B2258" t="s">
        <v>2</v>
      </c>
      <c r="C2258">
        <v>11</v>
      </c>
      <c r="D2258">
        <v>11</v>
      </c>
      <c r="E2258">
        <v>10</v>
      </c>
      <c r="F2258">
        <v>1</v>
      </c>
      <c r="G2258">
        <v>0</v>
      </c>
    </row>
    <row r="2259" spans="1:7" x14ac:dyDescent="0.25">
      <c r="A2259" s="3" t="s">
        <v>24</v>
      </c>
      <c r="B2259" s="3" t="s">
        <v>2</v>
      </c>
      <c r="C2259" s="3">
        <v>6</v>
      </c>
      <c r="D2259" s="3">
        <v>6</v>
      </c>
      <c r="E2259" s="3">
        <v>6</v>
      </c>
      <c r="F2259" s="3">
        <v>0</v>
      </c>
      <c r="G2259" s="3">
        <v>0</v>
      </c>
    </row>
    <row r="2260" spans="1:7" x14ac:dyDescent="0.25">
      <c r="A2260" t="s">
        <v>24</v>
      </c>
      <c r="B2260" t="s">
        <v>5</v>
      </c>
      <c r="C2260">
        <v>37</v>
      </c>
      <c r="D2260">
        <v>37</v>
      </c>
      <c r="E2260">
        <f>20+14</f>
        <v>34</v>
      </c>
      <c r="F2260">
        <f>17-14+0</f>
        <v>3</v>
      </c>
      <c r="G2260">
        <v>0</v>
      </c>
    </row>
    <row r="2261" spans="1:7" x14ac:dyDescent="0.25">
      <c r="A2261" s="3" t="s">
        <v>24</v>
      </c>
      <c r="B2261" s="3" t="s">
        <v>5</v>
      </c>
      <c r="C2261" s="3">
        <v>25</v>
      </c>
      <c r="D2261" s="3">
        <v>24</v>
      </c>
      <c r="E2261" s="3">
        <v>22</v>
      </c>
      <c r="F2261" s="3">
        <v>2</v>
      </c>
      <c r="G2261" s="3">
        <v>0</v>
      </c>
    </row>
    <row r="2262" spans="1:7" x14ac:dyDescent="0.25">
      <c r="A2262" t="s">
        <v>24</v>
      </c>
      <c r="B2262" t="s">
        <v>185</v>
      </c>
      <c r="C2262">
        <f>92+21</f>
        <v>113</v>
      </c>
      <c r="D2262">
        <f>92+21</f>
        <v>113</v>
      </c>
      <c r="E2262">
        <f>61+32</f>
        <v>93</v>
      </c>
      <c r="F2262">
        <f>52-44+12</f>
        <v>20</v>
      </c>
      <c r="G2262">
        <v>0</v>
      </c>
    </row>
    <row r="2263" spans="1:7" x14ac:dyDescent="0.25">
      <c r="A2263" s="3" t="s">
        <v>24</v>
      </c>
      <c r="B2263" s="3" t="s">
        <v>185</v>
      </c>
      <c r="C2263" s="3">
        <v>44</v>
      </c>
      <c r="D2263" s="3">
        <v>44</v>
      </c>
      <c r="E2263" s="3">
        <v>36</v>
      </c>
      <c r="F2263" s="3">
        <v>8</v>
      </c>
      <c r="G2263" s="3">
        <v>0</v>
      </c>
    </row>
    <row r="2264" spans="1:7" x14ac:dyDescent="0.25">
      <c r="A2264" t="s">
        <v>24</v>
      </c>
      <c r="B2264" t="s">
        <v>186</v>
      </c>
      <c r="C2264">
        <f>107+7</f>
        <v>114</v>
      </c>
      <c r="D2264">
        <v>109</v>
      </c>
      <c r="E2264">
        <f>99+3</f>
        <v>102</v>
      </c>
      <c r="F2264">
        <f>13-8+2</f>
        <v>7</v>
      </c>
      <c r="G2264">
        <v>0</v>
      </c>
    </row>
    <row r="2265" spans="1:7" x14ac:dyDescent="0.25">
      <c r="A2265" s="3" t="s">
        <v>24</v>
      </c>
      <c r="B2265" s="3" t="s">
        <v>186</v>
      </c>
      <c r="C2265" s="3">
        <v>72</v>
      </c>
      <c r="D2265" s="3">
        <v>66</v>
      </c>
      <c r="E2265" s="3">
        <v>66</v>
      </c>
      <c r="F2265" s="3">
        <v>0</v>
      </c>
      <c r="G2265" s="3">
        <v>1</v>
      </c>
    </row>
    <row r="2266" spans="1:7" x14ac:dyDescent="0.25">
      <c r="A2266" t="s">
        <v>24</v>
      </c>
      <c r="B2266" t="s">
        <v>187</v>
      </c>
      <c r="C2266">
        <f>285+2</f>
        <v>287</v>
      </c>
      <c r="D2266">
        <f>282+2</f>
        <v>284</v>
      </c>
      <c r="E2266">
        <f>197+44</f>
        <v>241</v>
      </c>
      <c r="F2266">
        <f>87-55+11</f>
        <v>43</v>
      </c>
      <c r="G2266">
        <v>1</v>
      </c>
    </row>
    <row r="2267" spans="1:7" x14ac:dyDescent="0.25">
      <c r="A2267" s="3" t="s">
        <v>24</v>
      </c>
      <c r="B2267" s="3" t="s">
        <v>187</v>
      </c>
      <c r="C2267" s="3">
        <v>120</v>
      </c>
      <c r="D2267" s="3">
        <v>119</v>
      </c>
      <c r="E2267" s="3">
        <v>105</v>
      </c>
      <c r="F2267" s="3">
        <v>14</v>
      </c>
      <c r="G2267" s="3">
        <v>0</v>
      </c>
    </row>
    <row r="2268" spans="1:7" x14ac:dyDescent="0.25">
      <c r="A2268" t="s">
        <v>24</v>
      </c>
      <c r="B2268" t="s">
        <v>6</v>
      </c>
      <c r="C2268">
        <v>88</v>
      </c>
      <c r="D2268">
        <v>87</v>
      </c>
      <c r="E2268">
        <v>87</v>
      </c>
      <c r="F2268">
        <v>0</v>
      </c>
      <c r="G2268">
        <v>0</v>
      </c>
    </row>
    <row r="2269" spans="1:7" x14ac:dyDescent="0.25">
      <c r="A2269" s="3" t="s">
        <v>24</v>
      </c>
      <c r="B2269" s="3" t="s">
        <v>6</v>
      </c>
      <c r="C2269" s="3">
        <v>50</v>
      </c>
      <c r="D2269" s="3">
        <v>50</v>
      </c>
      <c r="E2269" s="3">
        <v>50</v>
      </c>
      <c r="F2269" s="3">
        <v>0</v>
      </c>
      <c r="G2269" s="3">
        <v>0</v>
      </c>
    </row>
    <row r="2270" spans="1:7" x14ac:dyDescent="0.25">
      <c r="A2270" t="s">
        <v>24</v>
      </c>
      <c r="B2270" t="s">
        <v>7</v>
      </c>
      <c r="C2270">
        <v>20</v>
      </c>
      <c r="D2270">
        <v>18</v>
      </c>
      <c r="E2270">
        <v>16</v>
      </c>
      <c r="F2270">
        <v>2</v>
      </c>
      <c r="G2270">
        <v>0</v>
      </c>
    </row>
    <row r="2271" spans="1:7" x14ac:dyDescent="0.25">
      <c r="A2271" s="3" t="s">
        <v>24</v>
      </c>
      <c r="B2271" s="3" t="s">
        <v>7</v>
      </c>
      <c r="C2271" s="3">
        <v>2</v>
      </c>
      <c r="D2271" s="3">
        <v>2</v>
      </c>
      <c r="E2271" s="3">
        <v>2</v>
      </c>
      <c r="F2271" s="3">
        <v>0</v>
      </c>
      <c r="G2271" s="3">
        <v>0</v>
      </c>
    </row>
    <row r="2272" spans="1:7" x14ac:dyDescent="0.25">
      <c r="A2272" t="s">
        <v>24</v>
      </c>
      <c r="B2272" t="s">
        <v>8</v>
      </c>
      <c r="C2272">
        <v>63</v>
      </c>
      <c r="D2272">
        <v>62</v>
      </c>
      <c r="E2272">
        <v>47</v>
      </c>
      <c r="F2272">
        <v>15</v>
      </c>
      <c r="G2272">
        <v>0</v>
      </c>
    </row>
    <row r="2273" spans="1:7" x14ac:dyDescent="0.25">
      <c r="A2273" s="3" t="s">
        <v>24</v>
      </c>
      <c r="B2273" s="3" t="s">
        <v>8</v>
      </c>
      <c r="C2273" s="3">
        <v>32</v>
      </c>
      <c r="D2273" s="3">
        <v>32</v>
      </c>
      <c r="E2273" s="3">
        <v>25</v>
      </c>
      <c r="F2273" s="3">
        <v>7</v>
      </c>
      <c r="G2273" s="3">
        <v>0</v>
      </c>
    </row>
    <row r="2274" spans="1:7" x14ac:dyDescent="0.25">
      <c r="A2274" t="s">
        <v>24</v>
      </c>
      <c r="B2274" t="s">
        <v>9</v>
      </c>
      <c r="C2274">
        <v>30</v>
      </c>
      <c r="D2274">
        <v>30</v>
      </c>
      <c r="E2274">
        <v>27</v>
      </c>
      <c r="F2274">
        <v>3</v>
      </c>
      <c r="G2274">
        <v>0</v>
      </c>
    </row>
    <row r="2275" spans="1:7" x14ac:dyDescent="0.25">
      <c r="A2275" s="3" t="s">
        <v>24</v>
      </c>
      <c r="B2275" s="3" t="s">
        <v>9</v>
      </c>
      <c r="C2275" s="3">
        <v>13</v>
      </c>
      <c r="D2275" s="3">
        <v>13</v>
      </c>
      <c r="E2275" s="3">
        <v>12</v>
      </c>
      <c r="F2275" s="3">
        <v>1</v>
      </c>
      <c r="G2275" s="3">
        <v>0</v>
      </c>
    </row>
    <row r="2276" spans="1:7" x14ac:dyDescent="0.25">
      <c r="A2276" t="s">
        <v>24</v>
      </c>
      <c r="B2276" t="s">
        <v>10</v>
      </c>
      <c r="C2276">
        <v>104</v>
      </c>
      <c r="D2276">
        <v>104</v>
      </c>
      <c r="E2276">
        <v>98</v>
      </c>
      <c r="F2276">
        <v>6</v>
      </c>
      <c r="G2276">
        <v>0</v>
      </c>
    </row>
    <row r="2277" spans="1:7" x14ac:dyDescent="0.25">
      <c r="A2277" s="3" t="s">
        <v>24</v>
      </c>
      <c r="B2277" s="3" t="s">
        <v>10</v>
      </c>
      <c r="C2277" s="3">
        <v>89</v>
      </c>
      <c r="D2277" s="3">
        <v>88</v>
      </c>
      <c r="E2277" s="3">
        <v>69</v>
      </c>
      <c r="F2277" s="3">
        <v>19</v>
      </c>
      <c r="G2277" s="3">
        <v>0</v>
      </c>
    </row>
    <row r="2278" spans="1:7" x14ac:dyDescent="0.25">
      <c r="A2278" t="s">
        <v>24</v>
      </c>
      <c r="B2278" t="s">
        <v>177</v>
      </c>
      <c r="C2278">
        <v>49</v>
      </c>
      <c r="D2278">
        <v>49</v>
      </c>
      <c r="E2278">
        <v>41</v>
      </c>
      <c r="F2278">
        <v>8</v>
      </c>
      <c r="G2278">
        <v>0</v>
      </c>
    </row>
    <row r="2279" spans="1:7" x14ac:dyDescent="0.25">
      <c r="A2279" s="3" t="s">
        <v>24</v>
      </c>
      <c r="B2279" s="3" t="s">
        <v>177</v>
      </c>
      <c r="C2279" s="3">
        <v>8</v>
      </c>
      <c r="D2279" s="3">
        <v>7</v>
      </c>
      <c r="E2279" s="3">
        <v>7</v>
      </c>
      <c r="F2279" s="3">
        <v>0</v>
      </c>
      <c r="G2279" s="3">
        <v>1</v>
      </c>
    </row>
    <row r="2280" spans="1:7" x14ac:dyDescent="0.25">
      <c r="A2280" t="s">
        <v>159</v>
      </c>
      <c r="B2280" t="s">
        <v>2</v>
      </c>
      <c r="C2280">
        <v>7</v>
      </c>
      <c r="D2280">
        <v>4</v>
      </c>
      <c r="E2280">
        <v>4</v>
      </c>
      <c r="F2280">
        <v>0</v>
      </c>
      <c r="G2280">
        <v>0</v>
      </c>
    </row>
    <row r="2281" spans="1:7" x14ac:dyDescent="0.25">
      <c r="A2281" s="3" t="s">
        <v>159</v>
      </c>
      <c r="B2281" s="3" t="s">
        <v>2</v>
      </c>
      <c r="C2281" s="3">
        <v>3</v>
      </c>
      <c r="D2281" s="3">
        <v>2</v>
      </c>
      <c r="E2281" s="3">
        <v>2</v>
      </c>
      <c r="F2281" s="3">
        <v>0</v>
      </c>
      <c r="G2281" s="3">
        <v>0</v>
      </c>
    </row>
    <row r="2282" spans="1:7" x14ac:dyDescent="0.25">
      <c r="A2282" t="s">
        <v>159</v>
      </c>
      <c r="B2282" t="s">
        <v>4</v>
      </c>
      <c r="C2282">
        <v>1</v>
      </c>
      <c r="D2282">
        <v>0</v>
      </c>
      <c r="E2282">
        <v>0</v>
      </c>
      <c r="F2282">
        <v>0</v>
      </c>
      <c r="G2282">
        <v>0</v>
      </c>
    </row>
    <row r="2283" spans="1:7" x14ac:dyDescent="0.25">
      <c r="A2283" t="s">
        <v>159</v>
      </c>
      <c r="B2283" t="s">
        <v>5</v>
      </c>
      <c r="C2283">
        <v>17</v>
      </c>
      <c r="D2283">
        <v>17</v>
      </c>
      <c r="E2283">
        <f>11+3</f>
        <v>14</v>
      </c>
      <c r="F2283">
        <f>6-3+0</f>
        <v>3</v>
      </c>
      <c r="G2283">
        <v>0</v>
      </c>
    </row>
    <row r="2284" spans="1:7" x14ac:dyDescent="0.25">
      <c r="A2284" s="3" t="s">
        <v>159</v>
      </c>
      <c r="B2284" s="3" t="s">
        <v>5</v>
      </c>
      <c r="C2284" s="3">
        <v>17</v>
      </c>
      <c r="D2284" s="3">
        <v>16</v>
      </c>
      <c r="E2284" s="3">
        <v>15</v>
      </c>
      <c r="F2284" s="3">
        <v>1</v>
      </c>
      <c r="G2284" s="3">
        <v>0</v>
      </c>
    </row>
    <row r="2285" spans="1:7" x14ac:dyDescent="0.25">
      <c r="A2285" t="s">
        <v>159</v>
      </c>
      <c r="B2285" t="s">
        <v>185</v>
      </c>
      <c r="C2285">
        <f>55+3</f>
        <v>58</v>
      </c>
      <c r="D2285">
        <f>55+3</f>
        <v>58</v>
      </c>
      <c r="E2285">
        <f>47+8</f>
        <v>55</v>
      </c>
      <c r="F2285">
        <f>11-8+0</f>
        <v>3</v>
      </c>
      <c r="G2285">
        <v>0</v>
      </c>
    </row>
    <row r="2286" spans="1:7" x14ac:dyDescent="0.25">
      <c r="A2286" s="3" t="s">
        <v>159</v>
      </c>
      <c r="B2286" s="3" t="s">
        <v>185</v>
      </c>
      <c r="C2286" s="3">
        <v>50</v>
      </c>
      <c r="D2286" s="3">
        <v>49</v>
      </c>
      <c r="E2286" s="3">
        <v>47</v>
      </c>
      <c r="F2286" s="3">
        <v>2</v>
      </c>
      <c r="G2286" s="3">
        <v>0</v>
      </c>
    </row>
    <row r="2287" spans="1:7" x14ac:dyDescent="0.25">
      <c r="A2287" t="s">
        <v>159</v>
      </c>
      <c r="B2287" t="s">
        <v>186</v>
      </c>
      <c r="C2287">
        <v>56</v>
      </c>
      <c r="D2287">
        <v>55</v>
      </c>
      <c r="E2287">
        <f>50+4</f>
        <v>54</v>
      </c>
      <c r="F2287">
        <f>5-5+1</f>
        <v>1</v>
      </c>
      <c r="G2287">
        <v>0</v>
      </c>
    </row>
    <row r="2288" spans="1:7" x14ac:dyDescent="0.25">
      <c r="A2288" s="3" t="s">
        <v>159</v>
      </c>
      <c r="B2288" s="3" t="s">
        <v>186</v>
      </c>
      <c r="C2288" s="3">
        <v>48</v>
      </c>
      <c r="D2288" s="3">
        <v>47</v>
      </c>
      <c r="E2288" s="3">
        <v>45</v>
      </c>
      <c r="F2288" s="3">
        <v>2</v>
      </c>
      <c r="G2288" s="3">
        <v>0</v>
      </c>
    </row>
    <row r="2289" spans="1:7" x14ac:dyDescent="0.25">
      <c r="A2289" t="s">
        <v>159</v>
      </c>
      <c r="B2289" t="s">
        <v>187</v>
      </c>
      <c r="C2289">
        <f>235+1</f>
        <v>236</v>
      </c>
      <c r="D2289">
        <f>235+1</f>
        <v>236</v>
      </c>
      <c r="E2289">
        <f>226+1</f>
        <v>227</v>
      </c>
      <c r="F2289">
        <v>9</v>
      </c>
      <c r="G2289">
        <v>0</v>
      </c>
    </row>
    <row r="2290" spans="1:7" x14ac:dyDescent="0.25">
      <c r="A2290" s="3" t="s">
        <v>159</v>
      </c>
      <c r="B2290" s="3" t="s">
        <v>187</v>
      </c>
      <c r="C2290" s="3">
        <v>181</v>
      </c>
      <c r="D2290" s="3">
        <v>181</v>
      </c>
      <c r="E2290" s="3">
        <f>168+7</f>
        <v>175</v>
      </c>
      <c r="F2290" s="3">
        <f>13-7+0</f>
        <v>6</v>
      </c>
      <c r="G2290" s="3">
        <v>0</v>
      </c>
    </row>
    <row r="2291" spans="1:7" x14ac:dyDescent="0.25">
      <c r="A2291" t="s">
        <v>159</v>
      </c>
      <c r="B2291" t="s">
        <v>6</v>
      </c>
      <c r="C2291">
        <v>3</v>
      </c>
      <c r="D2291">
        <v>3</v>
      </c>
      <c r="E2291">
        <v>3</v>
      </c>
      <c r="F2291">
        <v>0</v>
      </c>
      <c r="G2291">
        <v>0</v>
      </c>
    </row>
    <row r="2292" spans="1:7" x14ac:dyDescent="0.25">
      <c r="A2292" s="3" t="s">
        <v>159</v>
      </c>
      <c r="B2292" s="3" t="s">
        <v>6</v>
      </c>
      <c r="C2292" s="3">
        <v>2</v>
      </c>
      <c r="D2292" s="3">
        <v>2</v>
      </c>
      <c r="E2292" s="3">
        <v>2</v>
      </c>
      <c r="F2292" s="3">
        <v>0</v>
      </c>
      <c r="G2292" s="3">
        <v>0</v>
      </c>
    </row>
    <row r="2293" spans="1:7" x14ac:dyDescent="0.25">
      <c r="A2293" t="s">
        <v>159</v>
      </c>
      <c r="B2293" t="s">
        <v>7</v>
      </c>
      <c r="C2293">
        <v>1</v>
      </c>
      <c r="D2293">
        <v>1</v>
      </c>
      <c r="E2293">
        <v>0</v>
      </c>
      <c r="F2293">
        <v>1</v>
      </c>
      <c r="G2293">
        <v>0</v>
      </c>
    </row>
    <row r="2294" spans="1:7" x14ac:dyDescent="0.25">
      <c r="A2294" s="3" t="s">
        <v>159</v>
      </c>
      <c r="B2294" s="3" t="s">
        <v>7</v>
      </c>
      <c r="C2294" s="3">
        <v>1</v>
      </c>
      <c r="D2294" s="3">
        <v>1</v>
      </c>
      <c r="E2294" s="3">
        <v>0</v>
      </c>
      <c r="F2294" s="3">
        <v>1</v>
      </c>
      <c r="G2294" s="3">
        <v>0</v>
      </c>
    </row>
    <row r="2295" spans="1:7" x14ac:dyDescent="0.25">
      <c r="A2295" t="s">
        <v>159</v>
      </c>
      <c r="B2295" t="s">
        <v>8</v>
      </c>
      <c r="C2295">
        <v>20</v>
      </c>
      <c r="D2295">
        <v>20</v>
      </c>
      <c r="E2295">
        <v>17</v>
      </c>
      <c r="F2295">
        <v>3</v>
      </c>
      <c r="G2295">
        <v>0</v>
      </c>
    </row>
    <row r="2296" spans="1:7" x14ac:dyDescent="0.25">
      <c r="A2296" s="3" t="s">
        <v>159</v>
      </c>
      <c r="B2296" s="3" t="s">
        <v>8</v>
      </c>
      <c r="C2296" s="3">
        <v>14</v>
      </c>
      <c r="D2296" s="3">
        <v>13</v>
      </c>
      <c r="E2296" s="3">
        <v>12</v>
      </c>
      <c r="F2296" s="3">
        <v>1</v>
      </c>
      <c r="G2296" s="3">
        <v>0</v>
      </c>
    </row>
    <row r="2297" spans="1:7" x14ac:dyDescent="0.25">
      <c r="A2297" t="s">
        <v>159</v>
      </c>
      <c r="B2297" t="s">
        <v>9</v>
      </c>
      <c r="C2297">
        <v>10</v>
      </c>
      <c r="D2297">
        <v>10</v>
      </c>
      <c r="E2297">
        <v>9</v>
      </c>
      <c r="F2297">
        <v>1</v>
      </c>
      <c r="G2297">
        <v>0</v>
      </c>
    </row>
    <row r="2298" spans="1:7" x14ac:dyDescent="0.25">
      <c r="A2298" s="3" t="s">
        <v>159</v>
      </c>
      <c r="B2298" s="3" t="s">
        <v>9</v>
      </c>
      <c r="C2298" s="3">
        <v>3</v>
      </c>
      <c r="D2298" s="3">
        <v>2</v>
      </c>
      <c r="E2298" s="3">
        <v>1</v>
      </c>
      <c r="F2298" s="3">
        <v>1</v>
      </c>
      <c r="G2298" s="3">
        <v>0</v>
      </c>
    </row>
    <row r="2299" spans="1:7" x14ac:dyDescent="0.25">
      <c r="A2299" t="s">
        <v>159</v>
      </c>
      <c r="B2299" t="s">
        <v>10</v>
      </c>
      <c r="C2299">
        <v>159</v>
      </c>
      <c r="D2299">
        <v>159</v>
      </c>
      <c r="E2299">
        <v>154</v>
      </c>
      <c r="F2299">
        <v>5</v>
      </c>
      <c r="G2299">
        <v>0</v>
      </c>
    </row>
    <row r="2300" spans="1:7" x14ac:dyDescent="0.25">
      <c r="A2300" s="3" t="s">
        <v>159</v>
      </c>
      <c r="B2300" s="3" t="s">
        <v>10</v>
      </c>
      <c r="C2300" s="3">
        <v>126</v>
      </c>
      <c r="D2300" s="3">
        <v>126</v>
      </c>
      <c r="E2300" s="3">
        <v>115</v>
      </c>
      <c r="F2300" s="3">
        <v>11</v>
      </c>
      <c r="G2300" s="3">
        <v>0</v>
      </c>
    </row>
    <row r="2301" spans="1:7" x14ac:dyDescent="0.25">
      <c r="A2301" t="s">
        <v>159</v>
      </c>
      <c r="B2301" t="s">
        <v>177</v>
      </c>
      <c r="C2301">
        <v>19</v>
      </c>
      <c r="D2301">
        <v>19</v>
      </c>
      <c r="E2301">
        <v>16</v>
      </c>
      <c r="F2301">
        <v>3</v>
      </c>
      <c r="G2301">
        <v>0</v>
      </c>
    </row>
    <row r="2302" spans="1:7" x14ac:dyDescent="0.25">
      <c r="A2302" s="3" t="s">
        <v>159</v>
      </c>
      <c r="B2302" s="3" t="s">
        <v>177</v>
      </c>
      <c r="C2302" s="3">
        <v>14</v>
      </c>
      <c r="D2302" s="3">
        <v>14</v>
      </c>
      <c r="E2302" s="3">
        <v>14</v>
      </c>
      <c r="F2302" s="3">
        <v>0</v>
      </c>
      <c r="G2302" s="3">
        <v>0</v>
      </c>
    </row>
    <row r="2303" spans="1:7" x14ac:dyDescent="0.25">
      <c r="A2303" t="s">
        <v>38</v>
      </c>
      <c r="B2303" t="s">
        <v>5</v>
      </c>
      <c r="C2303">
        <v>2</v>
      </c>
      <c r="D2303">
        <v>2</v>
      </c>
      <c r="E2303">
        <v>2</v>
      </c>
      <c r="F2303">
        <v>0</v>
      </c>
      <c r="G2303">
        <v>0</v>
      </c>
    </row>
    <row r="2304" spans="1:7" x14ac:dyDescent="0.25">
      <c r="A2304" s="3" t="s">
        <v>38</v>
      </c>
      <c r="B2304" s="3" t="s">
        <v>5</v>
      </c>
      <c r="C2304" s="3">
        <v>3</v>
      </c>
      <c r="D2304" s="3">
        <v>3</v>
      </c>
      <c r="E2304" s="3">
        <v>3</v>
      </c>
      <c r="F2304" s="3">
        <v>0</v>
      </c>
      <c r="G2304" s="3">
        <v>0</v>
      </c>
    </row>
    <row r="2305" spans="1:7" x14ac:dyDescent="0.25">
      <c r="A2305" t="s">
        <v>38</v>
      </c>
      <c r="B2305" t="s">
        <v>185</v>
      </c>
      <c r="C2305">
        <v>6</v>
      </c>
      <c r="D2305">
        <v>6</v>
      </c>
      <c r="E2305">
        <v>6</v>
      </c>
      <c r="F2305">
        <v>0</v>
      </c>
      <c r="G2305">
        <v>0</v>
      </c>
    </row>
    <row r="2306" spans="1:7" x14ac:dyDescent="0.25">
      <c r="A2306" s="3" t="s">
        <v>38</v>
      </c>
      <c r="B2306" s="3" t="s">
        <v>185</v>
      </c>
      <c r="C2306" s="3">
        <v>4</v>
      </c>
      <c r="D2306" s="3">
        <v>4</v>
      </c>
      <c r="E2306" s="3">
        <v>3</v>
      </c>
      <c r="F2306" s="3">
        <v>1</v>
      </c>
      <c r="G2306" s="3">
        <v>0</v>
      </c>
    </row>
    <row r="2307" spans="1:7" x14ac:dyDescent="0.25">
      <c r="A2307" t="s">
        <v>38</v>
      </c>
      <c r="B2307" t="s">
        <v>186</v>
      </c>
      <c r="C2307">
        <v>13</v>
      </c>
      <c r="D2307">
        <v>13</v>
      </c>
      <c r="E2307">
        <v>9</v>
      </c>
      <c r="F2307">
        <v>4</v>
      </c>
      <c r="G2307">
        <v>0</v>
      </c>
    </row>
    <row r="2308" spans="1:7" x14ac:dyDescent="0.25">
      <c r="A2308" s="3" t="s">
        <v>38</v>
      </c>
      <c r="B2308" s="3" t="s">
        <v>186</v>
      </c>
      <c r="C2308" s="3">
        <v>8</v>
      </c>
      <c r="D2308" s="3">
        <v>8</v>
      </c>
      <c r="E2308" s="3">
        <f>4+2</f>
        <v>6</v>
      </c>
      <c r="F2308" s="3">
        <f>4-2+0</f>
        <v>2</v>
      </c>
      <c r="G2308" s="3">
        <v>0</v>
      </c>
    </row>
    <row r="2309" spans="1:7" x14ac:dyDescent="0.25">
      <c r="A2309" t="s">
        <v>38</v>
      </c>
      <c r="B2309" t="s">
        <v>187</v>
      </c>
      <c r="C2309">
        <v>27</v>
      </c>
      <c r="D2309">
        <v>27</v>
      </c>
      <c r="E2309">
        <v>25</v>
      </c>
      <c r="F2309">
        <v>2</v>
      </c>
      <c r="G2309">
        <v>0</v>
      </c>
    </row>
    <row r="2310" spans="1:7" x14ac:dyDescent="0.25">
      <c r="A2310" s="3" t="s">
        <v>38</v>
      </c>
      <c r="B2310" s="3" t="s">
        <v>187</v>
      </c>
      <c r="C2310" s="3">
        <v>12</v>
      </c>
      <c r="D2310" s="3">
        <v>12</v>
      </c>
      <c r="E2310" s="3">
        <f>11+1</f>
        <v>12</v>
      </c>
      <c r="F2310" s="3">
        <f>1-1+0</f>
        <v>0</v>
      </c>
      <c r="G2310" s="3">
        <v>0</v>
      </c>
    </row>
    <row r="2311" spans="1:7" x14ac:dyDescent="0.25">
      <c r="A2311" t="s">
        <v>38</v>
      </c>
      <c r="B2311" t="s">
        <v>6</v>
      </c>
      <c r="C2311">
        <v>5</v>
      </c>
      <c r="D2311">
        <v>5</v>
      </c>
      <c r="E2311">
        <v>5</v>
      </c>
      <c r="F2311">
        <v>0</v>
      </c>
      <c r="G2311">
        <v>0</v>
      </c>
    </row>
    <row r="2312" spans="1:7" x14ac:dyDescent="0.25">
      <c r="A2312" s="3" t="s">
        <v>38</v>
      </c>
      <c r="B2312" s="3" t="s">
        <v>6</v>
      </c>
      <c r="C2312" s="3">
        <v>2</v>
      </c>
      <c r="D2312" s="3">
        <v>2</v>
      </c>
      <c r="E2312" s="3">
        <v>2</v>
      </c>
      <c r="F2312" s="3">
        <v>0</v>
      </c>
      <c r="G2312" s="3">
        <v>0</v>
      </c>
    </row>
    <row r="2313" spans="1:7" x14ac:dyDescent="0.25">
      <c r="A2313" s="3" t="s">
        <v>38</v>
      </c>
      <c r="B2313" s="3" t="s">
        <v>8</v>
      </c>
      <c r="C2313" s="3">
        <v>2</v>
      </c>
      <c r="D2313" s="3">
        <v>2</v>
      </c>
      <c r="E2313" s="3">
        <v>2</v>
      </c>
      <c r="F2313" s="3">
        <v>0</v>
      </c>
      <c r="G2313" s="3">
        <v>0</v>
      </c>
    </row>
    <row r="2314" spans="1:7" x14ac:dyDescent="0.25">
      <c r="A2314" s="3" t="s">
        <v>38</v>
      </c>
      <c r="B2314" s="3" t="s">
        <v>9</v>
      </c>
      <c r="C2314" s="3">
        <v>1</v>
      </c>
      <c r="D2314" s="3">
        <v>1</v>
      </c>
      <c r="E2314" s="3">
        <v>1</v>
      </c>
      <c r="F2314" s="3">
        <v>0</v>
      </c>
      <c r="G2314" s="3">
        <v>0</v>
      </c>
    </row>
    <row r="2315" spans="1:7" x14ac:dyDescent="0.25">
      <c r="A2315" t="s">
        <v>38</v>
      </c>
      <c r="B2315" t="s">
        <v>10</v>
      </c>
      <c r="C2315">
        <v>11</v>
      </c>
      <c r="D2315">
        <v>10</v>
      </c>
      <c r="E2315">
        <v>10</v>
      </c>
      <c r="F2315">
        <v>0</v>
      </c>
      <c r="G2315">
        <v>1</v>
      </c>
    </row>
    <row r="2316" spans="1:7" x14ac:dyDescent="0.25">
      <c r="A2316" s="3" t="s">
        <v>38</v>
      </c>
      <c r="B2316" s="3" t="s">
        <v>10</v>
      </c>
      <c r="C2316" s="3">
        <v>6</v>
      </c>
      <c r="D2316" s="3">
        <v>6</v>
      </c>
      <c r="E2316" s="3">
        <v>4</v>
      </c>
      <c r="F2316" s="3">
        <v>2</v>
      </c>
      <c r="G2316" s="3">
        <v>0</v>
      </c>
    </row>
    <row r="2317" spans="1:7" x14ac:dyDescent="0.25">
      <c r="A2317" s="3" t="s">
        <v>38</v>
      </c>
      <c r="B2317" s="3" t="s">
        <v>177</v>
      </c>
      <c r="C2317" s="3">
        <v>1</v>
      </c>
      <c r="D2317" s="3">
        <v>1</v>
      </c>
      <c r="E2317" s="3">
        <v>1</v>
      </c>
      <c r="F2317" s="3">
        <v>0</v>
      </c>
      <c r="G2317" s="3">
        <v>0</v>
      </c>
    </row>
    <row r="2318" spans="1:7" x14ac:dyDescent="0.25">
      <c r="A2318" t="s">
        <v>56</v>
      </c>
      <c r="B2318" t="s">
        <v>2</v>
      </c>
      <c r="C2318">
        <v>4</v>
      </c>
      <c r="D2318">
        <v>4</v>
      </c>
      <c r="E2318">
        <v>4</v>
      </c>
      <c r="F2318">
        <v>0</v>
      </c>
      <c r="G2318">
        <v>0</v>
      </c>
    </row>
    <row r="2319" spans="1:7" x14ac:dyDescent="0.25">
      <c r="A2319" s="3" t="s">
        <v>56</v>
      </c>
      <c r="B2319" s="3" t="s">
        <v>2</v>
      </c>
      <c r="C2319" s="3">
        <v>2</v>
      </c>
      <c r="D2319" s="3">
        <v>2</v>
      </c>
      <c r="E2319" s="3">
        <v>2</v>
      </c>
      <c r="F2319" s="3">
        <v>0</v>
      </c>
      <c r="G2319" s="3">
        <v>0</v>
      </c>
    </row>
    <row r="2320" spans="1:7" x14ac:dyDescent="0.25">
      <c r="A2320" t="s">
        <v>56</v>
      </c>
      <c r="B2320" t="s">
        <v>5</v>
      </c>
      <c r="C2320">
        <v>15</v>
      </c>
      <c r="D2320">
        <v>15</v>
      </c>
      <c r="E2320">
        <v>14</v>
      </c>
      <c r="F2320">
        <v>1</v>
      </c>
      <c r="G2320">
        <v>0</v>
      </c>
    </row>
    <row r="2321" spans="1:7" x14ac:dyDescent="0.25">
      <c r="A2321" s="3" t="s">
        <v>56</v>
      </c>
      <c r="B2321" s="3" t="s">
        <v>5</v>
      </c>
      <c r="C2321" s="3">
        <v>19</v>
      </c>
      <c r="D2321" s="3">
        <v>19</v>
      </c>
      <c r="E2321" s="3">
        <v>19</v>
      </c>
      <c r="F2321" s="3">
        <v>0</v>
      </c>
      <c r="G2321" s="3">
        <v>0</v>
      </c>
    </row>
    <row r="2322" spans="1:7" x14ac:dyDescent="0.25">
      <c r="A2322" t="s">
        <v>56</v>
      </c>
      <c r="B2322" t="s">
        <v>185</v>
      </c>
      <c r="C2322">
        <v>29</v>
      </c>
      <c r="D2322">
        <v>29</v>
      </c>
      <c r="E2322">
        <v>29</v>
      </c>
      <c r="F2322">
        <v>0</v>
      </c>
      <c r="G2322">
        <v>0</v>
      </c>
    </row>
    <row r="2323" spans="1:7" x14ac:dyDescent="0.25">
      <c r="A2323" s="3" t="s">
        <v>56</v>
      </c>
      <c r="B2323" s="3" t="s">
        <v>185</v>
      </c>
      <c r="C2323" s="3">
        <v>16</v>
      </c>
      <c r="D2323" s="3">
        <v>16</v>
      </c>
      <c r="E2323" s="3">
        <v>15</v>
      </c>
      <c r="F2323" s="3">
        <v>1</v>
      </c>
      <c r="G2323" s="3">
        <v>0</v>
      </c>
    </row>
    <row r="2324" spans="1:7" x14ac:dyDescent="0.25">
      <c r="A2324" t="s">
        <v>56</v>
      </c>
      <c r="B2324" t="s">
        <v>186</v>
      </c>
      <c r="C2324">
        <f>56+2</f>
        <v>58</v>
      </c>
      <c r="D2324">
        <f>55+1</f>
        <v>56</v>
      </c>
      <c r="E2324">
        <f>41+1</f>
        <v>42</v>
      </c>
      <c r="F2324">
        <v>14</v>
      </c>
      <c r="G2324">
        <v>0</v>
      </c>
    </row>
    <row r="2325" spans="1:7" x14ac:dyDescent="0.25">
      <c r="A2325" s="3" t="s">
        <v>56</v>
      </c>
      <c r="B2325" s="3" t="s">
        <v>186</v>
      </c>
      <c r="C2325" s="3">
        <v>47</v>
      </c>
      <c r="D2325" s="3">
        <v>44</v>
      </c>
      <c r="E2325" s="3">
        <f>32+9</f>
        <v>41</v>
      </c>
      <c r="F2325" s="3">
        <f>12-10+1</f>
        <v>3</v>
      </c>
      <c r="G2325" s="3">
        <v>1</v>
      </c>
    </row>
    <row r="2326" spans="1:7" x14ac:dyDescent="0.25">
      <c r="A2326" t="s">
        <v>56</v>
      </c>
      <c r="B2326" t="s">
        <v>187</v>
      </c>
      <c r="C2326">
        <v>82</v>
      </c>
      <c r="D2326">
        <v>81</v>
      </c>
      <c r="E2326">
        <v>79</v>
      </c>
      <c r="F2326">
        <v>2</v>
      </c>
      <c r="G2326">
        <v>0</v>
      </c>
    </row>
    <row r="2327" spans="1:7" x14ac:dyDescent="0.25">
      <c r="A2327" s="3" t="s">
        <v>56</v>
      </c>
      <c r="B2327" s="3" t="s">
        <v>187</v>
      </c>
      <c r="C2327" s="3">
        <v>46</v>
      </c>
      <c r="D2327" s="3">
        <v>46</v>
      </c>
      <c r="E2327" s="3">
        <f>41+3</f>
        <v>44</v>
      </c>
      <c r="F2327" s="3">
        <f>5-3+0</f>
        <v>2</v>
      </c>
      <c r="G2327" s="3">
        <v>0</v>
      </c>
    </row>
    <row r="2328" spans="1:7" x14ac:dyDescent="0.25">
      <c r="A2328" t="s">
        <v>56</v>
      </c>
      <c r="B2328" t="s">
        <v>6</v>
      </c>
      <c r="C2328">
        <v>4</v>
      </c>
      <c r="D2328">
        <v>4</v>
      </c>
      <c r="E2328">
        <v>4</v>
      </c>
      <c r="F2328">
        <v>0</v>
      </c>
      <c r="G2328">
        <v>0</v>
      </c>
    </row>
    <row r="2329" spans="1:7" x14ac:dyDescent="0.25">
      <c r="A2329" s="3" t="s">
        <v>56</v>
      </c>
      <c r="B2329" s="3" t="s">
        <v>6</v>
      </c>
      <c r="C2329" s="3">
        <v>2</v>
      </c>
      <c r="D2329" s="3">
        <v>2</v>
      </c>
      <c r="E2329" s="3">
        <v>2</v>
      </c>
      <c r="F2329" s="3">
        <v>0</v>
      </c>
      <c r="G2329" s="3">
        <v>0</v>
      </c>
    </row>
    <row r="2330" spans="1:7" x14ac:dyDescent="0.25">
      <c r="A2330" t="s">
        <v>56</v>
      </c>
      <c r="B2330" t="s">
        <v>7</v>
      </c>
      <c r="C2330">
        <v>8</v>
      </c>
      <c r="D2330">
        <v>8</v>
      </c>
      <c r="E2330">
        <v>8</v>
      </c>
      <c r="F2330">
        <v>0</v>
      </c>
      <c r="G2330">
        <v>0</v>
      </c>
    </row>
    <row r="2331" spans="1:7" x14ac:dyDescent="0.25">
      <c r="A2331" s="3" t="s">
        <v>56</v>
      </c>
      <c r="B2331" s="3" t="s">
        <v>7</v>
      </c>
      <c r="C2331" s="3">
        <v>1</v>
      </c>
      <c r="D2331" s="3">
        <v>1</v>
      </c>
      <c r="E2331" s="3">
        <v>1</v>
      </c>
      <c r="F2331" s="3">
        <v>0</v>
      </c>
      <c r="G2331" s="3">
        <v>0</v>
      </c>
    </row>
    <row r="2332" spans="1:7" x14ac:dyDescent="0.25">
      <c r="A2332" t="s">
        <v>56</v>
      </c>
      <c r="B2332" t="s">
        <v>8</v>
      </c>
      <c r="C2332">
        <v>12</v>
      </c>
      <c r="D2332">
        <v>12</v>
      </c>
      <c r="E2332">
        <v>11</v>
      </c>
      <c r="F2332">
        <v>1</v>
      </c>
      <c r="G2332">
        <v>0</v>
      </c>
    </row>
    <row r="2333" spans="1:7" x14ac:dyDescent="0.25">
      <c r="A2333" s="3" t="s">
        <v>56</v>
      </c>
      <c r="B2333" s="3" t="s">
        <v>8</v>
      </c>
      <c r="C2333" s="3">
        <v>17</v>
      </c>
      <c r="D2333" s="3">
        <v>15</v>
      </c>
      <c r="E2333" s="3">
        <v>15</v>
      </c>
      <c r="F2333" s="3">
        <v>0</v>
      </c>
      <c r="G2333" s="3">
        <v>0</v>
      </c>
    </row>
    <row r="2334" spans="1:7" x14ac:dyDescent="0.25">
      <c r="A2334" t="s">
        <v>56</v>
      </c>
      <c r="B2334" t="s">
        <v>9</v>
      </c>
      <c r="C2334">
        <v>6</v>
      </c>
      <c r="D2334">
        <v>6</v>
      </c>
      <c r="E2334">
        <v>6</v>
      </c>
      <c r="F2334">
        <v>0</v>
      </c>
      <c r="G2334">
        <v>0</v>
      </c>
    </row>
    <row r="2335" spans="1:7" x14ac:dyDescent="0.25">
      <c r="A2335" s="3" t="s">
        <v>56</v>
      </c>
      <c r="B2335" s="3" t="s">
        <v>9</v>
      </c>
      <c r="C2335" s="3">
        <v>9</v>
      </c>
      <c r="D2335" s="3">
        <v>9</v>
      </c>
      <c r="E2335" s="3">
        <v>9</v>
      </c>
      <c r="F2335" s="3">
        <v>0</v>
      </c>
      <c r="G2335" s="3">
        <v>0</v>
      </c>
    </row>
    <row r="2336" spans="1:7" x14ac:dyDescent="0.25">
      <c r="A2336" t="s">
        <v>56</v>
      </c>
      <c r="B2336" t="s">
        <v>10</v>
      </c>
      <c r="C2336">
        <v>72</v>
      </c>
      <c r="D2336">
        <v>72</v>
      </c>
      <c r="E2336">
        <v>71</v>
      </c>
      <c r="F2336">
        <v>1</v>
      </c>
      <c r="G2336">
        <v>0</v>
      </c>
    </row>
    <row r="2337" spans="1:7" x14ac:dyDescent="0.25">
      <c r="A2337" s="3" t="s">
        <v>56</v>
      </c>
      <c r="B2337" s="3" t="s">
        <v>10</v>
      </c>
      <c r="C2337" s="3">
        <v>33</v>
      </c>
      <c r="D2337" s="3">
        <v>32</v>
      </c>
      <c r="E2337" s="3">
        <v>32</v>
      </c>
      <c r="F2337" s="3">
        <v>0</v>
      </c>
      <c r="G2337" s="3">
        <v>0</v>
      </c>
    </row>
    <row r="2338" spans="1:7" x14ac:dyDescent="0.25">
      <c r="A2338" s="3" t="s">
        <v>56</v>
      </c>
      <c r="B2338" s="3" t="s">
        <v>177</v>
      </c>
      <c r="C2338" s="3">
        <v>1</v>
      </c>
      <c r="D2338" s="3">
        <v>1</v>
      </c>
      <c r="E2338" s="3">
        <v>1</v>
      </c>
      <c r="F2338" s="3">
        <v>0</v>
      </c>
      <c r="G2338" s="3">
        <v>0</v>
      </c>
    </row>
    <row r="2339" spans="1:7" x14ac:dyDescent="0.25">
      <c r="A2339" t="s">
        <v>25</v>
      </c>
      <c r="B2339" t="s">
        <v>2</v>
      </c>
      <c r="C2339">
        <v>12</v>
      </c>
      <c r="D2339">
        <v>12</v>
      </c>
      <c r="E2339">
        <f>6+4</f>
        <v>10</v>
      </c>
      <c r="F2339">
        <f>6-4+0</f>
        <v>2</v>
      </c>
      <c r="G2339">
        <v>0</v>
      </c>
    </row>
    <row r="2340" spans="1:7" x14ac:dyDescent="0.25">
      <c r="A2340" s="3" t="s">
        <v>25</v>
      </c>
      <c r="B2340" s="3" t="s">
        <v>2</v>
      </c>
      <c r="C2340" s="3">
        <v>7</v>
      </c>
      <c r="D2340" s="3">
        <v>5</v>
      </c>
      <c r="E2340" s="3">
        <v>4</v>
      </c>
      <c r="F2340" s="3">
        <v>1</v>
      </c>
      <c r="G2340" s="3">
        <v>0</v>
      </c>
    </row>
    <row r="2341" spans="1:7" x14ac:dyDescent="0.25">
      <c r="A2341" t="s">
        <v>25</v>
      </c>
      <c r="B2341" t="s">
        <v>5</v>
      </c>
      <c r="C2341">
        <v>24</v>
      </c>
      <c r="D2341">
        <v>24</v>
      </c>
      <c r="E2341">
        <v>24</v>
      </c>
      <c r="F2341">
        <v>0</v>
      </c>
      <c r="G2341">
        <v>0</v>
      </c>
    </row>
    <row r="2342" spans="1:7" x14ac:dyDescent="0.25">
      <c r="A2342" s="3" t="s">
        <v>25</v>
      </c>
      <c r="B2342" s="3" t="s">
        <v>5</v>
      </c>
      <c r="C2342" s="3">
        <v>12</v>
      </c>
      <c r="D2342" s="3">
        <v>11</v>
      </c>
      <c r="E2342" s="3">
        <v>10</v>
      </c>
      <c r="F2342" s="3">
        <v>1</v>
      </c>
      <c r="G2342" s="3">
        <v>0</v>
      </c>
    </row>
    <row r="2343" spans="1:7" x14ac:dyDescent="0.25">
      <c r="A2343" t="s">
        <v>25</v>
      </c>
      <c r="B2343" t="s">
        <v>185</v>
      </c>
      <c r="C2343">
        <f>9+1</f>
        <v>10</v>
      </c>
      <c r="D2343">
        <v>9</v>
      </c>
      <c r="E2343">
        <v>9</v>
      </c>
      <c r="F2343">
        <v>0</v>
      </c>
      <c r="G2343">
        <v>0</v>
      </c>
    </row>
    <row r="2344" spans="1:7" x14ac:dyDescent="0.25">
      <c r="A2344" s="3" t="s">
        <v>25</v>
      </c>
      <c r="B2344" s="3" t="s">
        <v>185</v>
      </c>
      <c r="C2344" s="3">
        <v>15</v>
      </c>
      <c r="D2344" s="3">
        <v>15</v>
      </c>
      <c r="E2344" s="3">
        <v>15</v>
      </c>
      <c r="F2344" s="3">
        <v>0</v>
      </c>
      <c r="G2344" s="3">
        <v>1</v>
      </c>
    </row>
    <row r="2345" spans="1:7" x14ac:dyDescent="0.25">
      <c r="A2345" t="s">
        <v>25</v>
      </c>
      <c r="B2345" t="s">
        <v>186</v>
      </c>
      <c r="C2345">
        <v>21</v>
      </c>
      <c r="D2345">
        <v>20</v>
      </c>
      <c r="E2345">
        <v>18</v>
      </c>
      <c r="F2345">
        <f>3-1+0</f>
        <v>2</v>
      </c>
      <c r="G2345">
        <v>0</v>
      </c>
    </row>
    <row r="2346" spans="1:7" x14ac:dyDescent="0.25">
      <c r="A2346" s="3" t="s">
        <v>25</v>
      </c>
      <c r="B2346" s="3" t="s">
        <v>186</v>
      </c>
      <c r="C2346" s="3">
        <v>16</v>
      </c>
      <c r="D2346" s="3">
        <v>14</v>
      </c>
      <c r="E2346" s="3">
        <v>14</v>
      </c>
      <c r="F2346" s="3">
        <v>0</v>
      </c>
      <c r="G2346" s="3">
        <v>0</v>
      </c>
    </row>
    <row r="2347" spans="1:7" x14ac:dyDescent="0.25">
      <c r="A2347" t="s">
        <v>25</v>
      </c>
      <c r="B2347" t="s">
        <v>187</v>
      </c>
      <c r="C2347">
        <f>22+1</f>
        <v>23</v>
      </c>
      <c r="D2347">
        <f>20+1</f>
        <v>21</v>
      </c>
      <c r="E2347">
        <f>20+1</f>
        <v>21</v>
      </c>
      <c r="F2347">
        <v>0</v>
      </c>
      <c r="G2347">
        <v>0</v>
      </c>
    </row>
    <row r="2348" spans="1:7" x14ac:dyDescent="0.25">
      <c r="A2348" s="3" t="s">
        <v>25</v>
      </c>
      <c r="B2348" s="3" t="s">
        <v>187</v>
      </c>
      <c r="C2348" s="3">
        <v>17</v>
      </c>
      <c r="D2348" s="3">
        <v>16</v>
      </c>
      <c r="E2348" s="3">
        <v>14</v>
      </c>
      <c r="F2348" s="3">
        <v>2</v>
      </c>
      <c r="G2348" s="3">
        <v>0</v>
      </c>
    </row>
    <row r="2349" spans="1:7" x14ac:dyDescent="0.25">
      <c r="A2349" s="3" t="s">
        <v>25</v>
      </c>
      <c r="B2349" s="3" t="s">
        <v>6</v>
      </c>
      <c r="C2349" s="3">
        <v>3</v>
      </c>
      <c r="D2349" s="3">
        <v>2</v>
      </c>
      <c r="E2349" s="3">
        <v>2</v>
      </c>
      <c r="F2349" s="3">
        <v>0</v>
      </c>
      <c r="G2349" s="3">
        <v>0</v>
      </c>
    </row>
    <row r="2350" spans="1:7" x14ac:dyDescent="0.25">
      <c r="A2350" t="s">
        <v>25</v>
      </c>
      <c r="B2350" t="s">
        <v>7</v>
      </c>
      <c r="C2350">
        <v>1</v>
      </c>
      <c r="D2350">
        <v>1</v>
      </c>
      <c r="E2350">
        <v>1</v>
      </c>
      <c r="F2350">
        <v>0</v>
      </c>
      <c r="G2350">
        <v>0</v>
      </c>
    </row>
    <row r="2351" spans="1:7" x14ac:dyDescent="0.25">
      <c r="A2351" t="s">
        <v>25</v>
      </c>
      <c r="B2351" t="s">
        <v>8</v>
      </c>
      <c r="C2351">
        <v>7</v>
      </c>
      <c r="D2351">
        <v>7</v>
      </c>
      <c r="E2351">
        <v>7</v>
      </c>
      <c r="F2351">
        <v>0</v>
      </c>
      <c r="G2351">
        <v>0</v>
      </c>
    </row>
    <row r="2352" spans="1:7" x14ac:dyDescent="0.25">
      <c r="A2352" s="3" t="s">
        <v>25</v>
      </c>
      <c r="B2352" s="3" t="s">
        <v>8</v>
      </c>
      <c r="C2352" s="3">
        <v>7</v>
      </c>
      <c r="D2352" s="3">
        <v>6</v>
      </c>
      <c r="E2352" s="3">
        <v>5</v>
      </c>
      <c r="F2352" s="3">
        <v>1</v>
      </c>
      <c r="G2352" s="3">
        <v>0</v>
      </c>
    </row>
    <row r="2353" spans="1:7" x14ac:dyDescent="0.25">
      <c r="A2353" t="s">
        <v>25</v>
      </c>
      <c r="B2353" t="s">
        <v>9</v>
      </c>
      <c r="C2353">
        <v>5</v>
      </c>
      <c r="D2353">
        <v>5</v>
      </c>
      <c r="E2353">
        <v>5</v>
      </c>
      <c r="F2353">
        <v>0</v>
      </c>
      <c r="G2353">
        <v>0</v>
      </c>
    </row>
    <row r="2354" spans="1:7" x14ac:dyDescent="0.25">
      <c r="A2354" s="3" t="s">
        <v>25</v>
      </c>
      <c r="B2354" s="3" t="s">
        <v>9</v>
      </c>
      <c r="C2354" s="3">
        <v>3</v>
      </c>
      <c r="D2354" s="3">
        <v>2</v>
      </c>
      <c r="E2354" s="3">
        <v>2</v>
      </c>
      <c r="F2354" s="3">
        <v>0</v>
      </c>
      <c r="G2354" s="3">
        <v>0</v>
      </c>
    </row>
    <row r="2355" spans="1:7" x14ac:dyDescent="0.25">
      <c r="A2355" t="s">
        <v>25</v>
      </c>
      <c r="B2355" t="s">
        <v>10</v>
      </c>
      <c r="C2355">
        <v>18</v>
      </c>
      <c r="D2355">
        <v>18</v>
      </c>
      <c r="E2355">
        <v>18</v>
      </c>
      <c r="F2355">
        <v>0</v>
      </c>
      <c r="G2355">
        <v>0</v>
      </c>
    </row>
    <row r="2356" spans="1:7" x14ac:dyDescent="0.25">
      <c r="A2356" s="3" t="s">
        <v>25</v>
      </c>
      <c r="B2356" s="3" t="s">
        <v>10</v>
      </c>
      <c r="C2356" s="3">
        <v>21</v>
      </c>
      <c r="D2356" s="3">
        <v>21</v>
      </c>
      <c r="E2356" s="3">
        <v>17</v>
      </c>
      <c r="F2356" s="3">
        <v>4</v>
      </c>
      <c r="G2356" s="3">
        <v>0</v>
      </c>
    </row>
    <row r="2357" spans="1:7" x14ac:dyDescent="0.25">
      <c r="A2357" t="s">
        <v>68</v>
      </c>
      <c r="B2357" t="s">
        <v>4</v>
      </c>
      <c r="C2357">
        <v>2</v>
      </c>
      <c r="D2357">
        <v>0</v>
      </c>
      <c r="E2357">
        <v>0</v>
      </c>
      <c r="F2357">
        <v>0</v>
      </c>
      <c r="G2357">
        <v>0</v>
      </c>
    </row>
    <row r="2358" spans="1:7" x14ac:dyDescent="0.25">
      <c r="A2358" t="s">
        <v>68</v>
      </c>
      <c r="B2358" t="s">
        <v>5</v>
      </c>
      <c r="C2358">
        <v>6</v>
      </c>
      <c r="D2358">
        <v>6</v>
      </c>
      <c r="E2358">
        <v>6</v>
      </c>
      <c r="F2358">
        <v>0</v>
      </c>
      <c r="G2358">
        <v>0</v>
      </c>
    </row>
    <row r="2359" spans="1:7" x14ac:dyDescent="0.25">
      <c r="A2359" s="3" t="s">
        <v>68</v>
      </c>
      <c r="B2359" s="3" t="s">
        <v>5</v>
      </c>
      <c r="C2359" s="3">
        <v>3</v>
      </c>
      <c r="D2359" s="3">
        <v>3</v>
      </c>
      <c r="E2359" s="3">
        <v>3</v>
      </c>
      <c r="F2359" s="3">
        <v>0</v>
      </c>
      <c r="G2359" s="3">
        <v>0</v>
      </c>
    </row>
    <row r="2360" spans="1:7" x14ac:dyDescent="0.25">
      <c r="A2360" t="s">
        <v>68</v>
      </c>
      <c r="B2360" t="s">
        <v>185</v>
      </c>
      <c r="C2360">
        <f>38+2</f>
        <v>40</v>
      </c>
      <c r="D2360">
        <f>38+2</f>
        <v>40</v>
      </c>
      <c r="E2360">
        <f>33+6</f>
        <v>39</v>
      </c>
      <c r="F2360">
        <f>7-6+0</f>
        <v>1</v>
      </c>
      <c r="G2360">
        <v>0</v>
      </c>
    </row>
    <row r="2361" spans="1:7" x14ac:dyDescent="0.25">
      <c r="A2361" s="3" t="s">
        <v>68</v>
      </c>
      <c r="B2361" s="3" t="s">
        <v>185</v>
      </c>
      <c r="C2361" s="3">
        <v>27</v>
      </c>
      <c r="D2361" s="3">
        <v>27</v>
      </c>
      <c r="E2361" s="3">
        <v>26</v>
      </c>
      <c r="F2361" s="3">
        <v>1</v>
      </c>
      <c r="G2361" s="3">
        <v>0</v>
      </c>
    </row>
    <row r="2362" spans="1:7" x14ac:dyDescent="0.25">
      <c r="A2362" t="s">
        <v>68</v>
      </c>
      <c r="B2362" t="s">
        <v>186</v>
      </c>
      <c r="C2362">
        <f>56+2</f>
        <v>58</v>
      </c>
      <c r="D2362">
        <f>56+1</f>
        <v>57</v>
      </c>
      <c r="E2362">
        <f>47+7</f>
        <v>54</v>
      </c>
      <c r="F2362">
        <f>10-7+0</f>
        <v>3</v>
      </c>
      <c r="G2362">
        <v>0</v>
      </c>
    </row>
    <row r="2363" spans="1:7" x14ac:dyDescent="0.25">
      <c r="A2363" s="3" t="s">
        <v>68</v>
      </c>
      <c r="B2363" s="3" t="s">
        <v>186</v>
      </c>
      <c r="C2363" s="3">
        <v>33</v>
      </c>
      <c r="D2363" s="3">
        <v>33</v>
      </c>
      <c r="E2363" s="3">
        <v>32</v>
      </c>
      <c r="F2363" s="3">
        <v>1</v>
      </c>
      <c r="G2363" s="3">
        <v>0</v>
      </c>
    </row>
    <row r="2364" spans="1:7" x14ac:dyDescent="0.25">
      <c r="A2364" t="s">
        <v>68</v>
      </c>
      <c r="B2364" t="s">
        <v>187</v>
      </c>
      <c r="C2364">
        <f>10+7</f>
        <v>17</v>
      </c>
      <c r="D2364">
        <f>10+7</f>
        <v>17</v>
      </c>
      <c r="E2364">
        <f>8+7</f>
        <v>15</v>
      </c>
      <c r="F2364">
        <v>2</v>
      </c>
      <c r="G2364">
        <v>0</v>
      </c>
    </row>
    <row r="2365" spans="1:7" x14ac:dyDescent="0.25">
      <c r="A2365" s="3" t="s">
        <v>68</v>
      </c>
      <c r="B2365" s="3" t="s">
        <v>187</v>
      </c>
      <c r="C2365" s="3">
        <v>15</v>
      </c>
      <c r="D2365" s="3">
        <v>15</v>
      </c>
      <c r="E2365" s="3">
        <f>13+2</f>
        <v>15</v>
      </c>
      <c r="F2365" s="3">
        <f>2-2+0</f>
        <v>0</v>
      </c>
      <c r="G2365" s="3">
        <v>0</v>
      </c>
    </row>
    <row r="2366" spans="1:7" x14ac:dyDescent="0.25">
      <c r="A2366" t="s">
        <v>68</v>
      </c>
      <c r="B2366" t="s">
        <v>8</v>
      </c>
      <c r="C2366">
        <v>1</v>
      </c>
      <c r="D2366">
        <v>1</v>
      </c>
      <c r="E2366">
        <v>0</v>
      </c>
      <c r="F2366">
        <v>1</v>
      </c>
      <c r="G2366">
        <v>0</v>
      </c>
    </row>
    <row r="2367" spans="1:7" x14ac:dyDescent="0.25">
      <c r="A2367" t="s">
        <v>68</v>
      </c>
      <c r="B2367" t="s">
        <v>10</v>
      </c>
      <c r="C2367">
        <v>29</v>
      </c>
      <c r="D2367">
        <v>29</v>
      </c>
      <c r="E2367">
        <v>27</v>
      </c>
      <c r="F2367">
        <v>2</v>
      </c>
      <c r="G2367">
        <v>0</v>
      </c>
    </row>
    <row r="2368" spans="1:7" x14ac:dyDescent="0.25">
      <c r="A2368" s="3" t="s">
        <v>68</v>
      </c>
      <c r="B2368" s="3" t="s">
        <v>10</v>
      </c>
      <c r="C2368" s="3">
        <v>9</v>
      </c>
      <c r="D2368" s="3">
        <v>9</v>
      </c>
      <c r="E2368" s="3">
        <v>7</v>
      </c>
      <c r="F2368" s="3">
        <v>2</v>
      </c>
      <c r="G2368" s="3">
        <v>0</v>
      </c>
    </row>
    <row r="2369" spans="1:7" x14ac:dyDescent="0.25">
      <c r="A2369" s="3" t="s">
        <v>68</v>
      </c>
      <c r="B2369" s="3" t="s">
        <v>177</v>
      </c>
      <c r="C2369" s="3">
        <v>1</v>
      </c>
      <c r="D2369" s="3">
        <v>0</v>
      </c>
      <c r="E2369" s="3">
        <v>0</v>
      </c>
      <c r="F2369" s="3">
        <v>0</v>
      </c>
      <c r="G2369" s="3">
        <v>0</v>
      </c>
    </row>
    <row r="2370" spans="1:7" x14ac:dyDescent="0.25">
      <c r="A2370" t="s">
        <v>114</v>
      </c>
      <c r="B2370" t="s">
        <v>2</v>
      </c>
      <c r="C2370">
        <v>4</v>
      </c>
      <c r="D2370">
        <v>1</v>
      </c>
      <c r="E2370">
        <v>1</v>
      </c>
      <c r="F2370">
        <v>0</v>
      </c>
      <c r="G2370">
        <v>0</v>
      </c>
    </row>
    <row r="2371" spans="1:7" x14ac:dyDescent="0.25">
      <c r="A2371" t="s">
        <v>114</v>
      </c>
      <c r="B2371" t="s">
        <v>4</v>
      </c>
      <c r="C2371">
        <v>3</v>
      </c>
      <c r="D2371">
        <v>0</v>
      </c>
      <c r="E2371">
        <v>0</v>
      </c>
      <c r="F2371">
        <v>0</v>
      </c>
      <c r="G2371">
        <v>0</v>
      </c>
    </row>
    <row r="2372" spans="1:7" x14ac:dyDescent="0.25">
      <c r="A2372" t="s">
        <v>114</v>
      </c>
      <c r="B2372" t="s">
        <v>5</v>
      </c>
      <c r="C2372">
        <v>14</v>
      </c>
      <c r="D2372">
        <v>14</v>
      </c>
      <c r="E2372">
        <f>6+3</f>
        <v>9</v>
      </c>
      <c r="F2372">
        <f>8-4+1</f>
        <v>5</v>
      </c>
      <c r="G2372">
        <v>0</v>
      </c>
    </row>
    <row r="2373" spans="1:7" x14ac:dyDescent="0.25">
      <c r="A2373" s="3" t="s">
        <v>114</v>
      </c>
      <c r="B2373" s="3" t="s">
        <v>5</v>
      </c>
      <c r="C2373" s="3">
        <v>7</v>
      </c>
      <c r="D2373" s="3">
        <v>7</v>
      </c>
      <c r="E2373" s="3">
        <v>5</v>
      </c>
      <c r="F2373" s="3">
        <v>2</v>
      </c>
      <c r="G2373" s="3">
        <v>0</v>
      </c>
    </row>
    <row r="2374" spans="1:7" x14ac:dyDescent="0.25">
      <c r="A2374" t="s">
        <v>114</v>
      </c>
      <c r="B2374" t="s">
        <v>185</v>
      </c>
      <c r="C2374">
        <f>27+2</f>
        <v>29</v>
      </c>
      <c r="D2374">
        <f>27+2</f>
        <v>29</v>
      </c>
      <c r="E2374">
        <f>19+7</f>
        <v>26</v>
      </c>
      <c r="F2374">
        <f>10-7+0</f>
        <v>3</v>
      </c>
      <c r="G2374">
        <v>0</v>
      </c>
    </row>
    <row r="2375" spans="1:7" x14ac:dyDescent="0.25">
      <c r="A2375" s="3" t="s">
        <v>114</v>
      </c>
      <c r="B2375" s="3" t="s">
        <v>185</v>
      </c>
      <c r="C2375" s="3">
        <v>26</v>
      </c>
      <c r="D2375" s="3">
        <v>26</v>
      </c>
      <c r="E2375" s="3">
        <v>20</v>
      </c>
      <c r="F2375" s="3">
        <v>6</v>
      </c>
      <c r="G2375" s="3">
        <v>0</v>
      </c>
    </row>
    <row r="2376" spans="1:7" x14ac:dyDescent="0.25">
      <c r="A2376" t="s">
        <v>114</v>
      </c>
      <c r="B2376" t="s">
        <v>186</v>
      </c>
      <c r="C2376">
        <v>44</v>
      </c>
      <c r="D2376">
        <v>42</v>
      </c>
      <c r="E2376">
        <f>21+12</f>
        <v>33</v>
      </c>
      <c r="F2376">
        <f>22-14+1</f>
        <v>9</v>
      </c>
      <c r="G2376">
        <v>0</v>
      </c>
    </row>
    <row r="2377" spans="1:7" x14ac:dyDescent="0.25">
      <c r="A2377" s="3" t="s">
        <v>114</v>
      </c>
      <c r="B2377" s="3" t="s">
        <v>186</v>
      </c>
      <c r="C2377" s="3">
        <v>35</v>
      </c>
      <c r="D2377" s="3">
        <v>34</v>
      </c>
      <c r="E2377" s="3">
        <v>23</v>
      </c>
      <c r="F2377" s="3">
        <v>11</v>
      </c>
      <c r="G2377" s="3">
        <v>0</v>
      </c>
    </row>
    <row r="2378" spans="1:7" x14ac:dyDescent="0.25">
      <c r="A2378" t="s">
        <v>114</v>
      </c>
      <c r="B2378" t="s">
        <v>187</v>
      </c>
      <c r="C2378">
        <v>38</v>
      </c>
      <c r="D2378">
        <v>38</v>
      </c>
      <c r="E2378">
        <v>25</v>
      </c>
      <c r="F2378">
        <v>13</v>
      </c>
      <c r="G2378">
        <v>0</v>
      </c>
    </row>
    <row r="2379" spans="1:7" x14ac:dyDescent="0.25">
      <c r="A2379" s="3" t="s">
        <v>114</v>
      </c>
      <c r="B2379" s="3" t="s">
        <v>187</v>
      </c>
      <c r="C2379" s="3">
        <v>33</v>
      </c>
      <c r="D2379" s="3">
        <v>32</v>
      </c>
      <c r="E2379" s="3">
        <f>22+7</f>
        <v>29</v>
      </c>
      <c r="F2379" s="3">
        <f>10-9+2</f>
        <v>3</v>
      </c>
      <c r="G2379" s="3">
        <v>0</v>
      </c>
    </row>
    <row r="2380" spans="1:7" x14ac:dyDescent="0.25">
      <c r="A2380" t="s">
        <v>114</v>
      </c>
      <c r="B2380" t="s">
        <v>6</v>
      </c>
      <c r="C2380">
        <v>23</v>
      </c>
      <c r="D2380">
        <v>23</v>
      </c>
      <c r="E2380">
        <v>22</v>
      </c>
      <c r="F2380">
        <v>1</v>
      </c>
      <c r="G2380">
        <v>0</v>
      </c>
    </row>
    <row r="2381" spans="1:7" x14ac:dyDescent="0.25">
      <c r="A2381" s="3" t="s">
        <v>114</v>
      </c>
      <c r="B2381" s="3" t="s">
        <v>6</v>
      </c>
      <c r="C2381" s="3">
        <v>19</v>
      </c>
      <c r="D2381" s="3">
        <v>19</v>
      </c>
      <c r="E2381" s="3">
        <v>19</v>
      </c>
      <c r="F2381" s="3">
        <v>0</v>
      </c>
      <c r="G2381" s="3">
        <v>0</v>
      </c>
    </row>
    <row r="2382" spans="1:7" x14ac:dyDescent="0.25">
      <c r="A2382" t="s">
        <v>114</v>
      </c>
      <c r="B2382" t="s">
        <v>8</v>
      </c>
      <c r="C2382">
        <v>13</v>
      </c>
      <c r="D2382">
        <v>13</v>
      </c>
      <c r="E2382">
        <v>9</v>
      </c>
      <c r="F2382">
        <v>4</v>
      </c>
      <c r="G2382">
        <v>0</v>
      </c>
    </row>
    <row r="2383" spans="1:7" x14ac:dyDescent="0.25">
      <c r="A2383" s="3" t="s">
        <v>114</v>
      </c>
      <c r="B2383" s="3" t="s">
        <v>8</v>
      </c>
      <c r="C2383" s="3">
        <v>5</v>
      </c>
      <c r="D2383" s="3">
        <v>4</v>
      </c>
      <c r="E2383" s="3">
        <v>3</v>
      </c>
      <c r="F2383" s="3">
        <v>1</v>
      </c>
      <c r="G2383" s="3">
        <v>0</v>
      </c>
    </row>
    <row r="2384" spans="1:7" x14ac:dyDescent="0.25">
      <c r="A2384" t="s">
        <v>114</v>
      </c>
      <c r="B2384" t="s">
        <v>9</v>
      </c>
      <c r="C2384">
        <v>11</v>
      </c>
      <c r="D2384">
        <v>11</v>
      </c>
      <c r="E2384">
        <v>11</v>
      </c>
      <c r="F2384">
        <v>0</v>
      </c>
      <c r="G2384">
        <v>0</v>
      </c>
    </row>
    <row r="2385" spans="1:7" x14ac:dyDescent="0.25">
      <c r="A2385" s="3" t="s">
        <v>114</v>
      </c>
      <c r="B2385" s="3" t="s">
        <v>9</v>
      </c>
      <c r="C2385" s="3">
        <v>1</v>
      </c>
      <c r="D2385" s="3">
        <v>0</v>
      </c>
      <c r="E2385" s="3">
        <v>0</v>
      </c>
      <c r="F2385" s="3">
        <v>0</v>
      </c>
      <c r="G2385" s="3">
        <v>0</v>
      </c>
    </row>
    <row r="2386" spans="1:7" x14ac:dyDescent="0.25">
      <c r="A2386" t="s">
        <v>114</v>
      </c>
      <c r="B2386" t="s">
        <v>10</v>
      </c>
      <c r="C2386">
        <v>24</v>
      </c>
      <c r="D2386">
        <v>24</v>
      </c>
      <c r="E2386">
        <v>17</v>
      </c>
      <c r="F2386">
        <v>7</v>
      </c>
      <c r="G2386">
        <v>0</v>
      </c>
    </row>
    <row r="2387" spans="1:7" x14ac:dyDescent="0.25">
      <c r="A2387" s="3" t="s">
        <v>114</v>
      </c>
      <c r="B2387" s="3" t="s">
        <v>10</v>
      </c>
      <c r="C2387" s="3">
        <v>25</v>
      </c>
      <c r="D2387" s="3">
        <v>25</v>
      </c>
      <c r="E2387" s="3">
        <v>14</v>
      </c>
      <c r="F2387" s="3">
        <v>11</v>
      </c>
      <c r="G2387" s="3">
        <v>0</v>
      </c>
    </row>
    <row r="2388" spans="1:7" x14ac:dyDescent="0.25">
      <c r="A2388" t="s">
        <v>114</v>
      </c>
      <c r="B2388" t="s">
        <v>177</v>
      </c>
      <c r="C2388">
        <v>10</v>
      </c>
      <c r="D2388">
        <v>10</v>
      </c>
      <c r="E2388">
        <v>10</v>
      </c>
      <c r="F2388">
        <v>0</v>
      </c>
      <c r="G2388">
        <v>0</v>
      </c>
    </row>
    <row r="2389" spans="1:7" x14ac:dyDescent="0.25">
      <c r="A2389" s="3" t="s">
        <v>114</v>
      </c>
      <c r="B2389" s="3" t="s">
        <v>177</v>
      </c>
      <c r="C2389" s="3">
        <v>5</v>
      </c>
      <c r="D2389" s="3">
        <v>5</v>
      </c>
      <c r="E2389" s="3">
        <v>5</v>
      </c>
      <c r="F2389" s="3">
        <v>0</v>
      </c>
      <c r="G2389" s="3">
        <v>0</v>
      </c>
    </row>
    <row r="2390" spans="1:7" x14ac:dyDescent="0.25">
      <c r="A2390" t="s">
        <v>136</v>
      </c>
      <c r="B2390" t="s">
        <v>2</v>
      </c>
      <c r="C2390">
        <v>2</v>
      </c>
      <c r="D2390">
        <v>2</v>
      </c>
      <c r="E2390">
        <v>2</v>
      </c>
      <c r="F2390">
        <v>0</v>
      </c>
      <c r="G2390">
        <v>0</v>
      </c>
    </row>
    <row r="2391" spans="1:7" x14ac:dyDescent="0.25">
      <c r="A2391" s="3" t="s">
        <v>136</v>
      </c>
      <c r="B2391" s="3" t="s">
        <v>2</v>
      </c>
      <c r="C2391" s="3">
        <v>1</v>
      </c>
      <c r="D2391" s="3">
        <v>1</v>
      </c>
      <c r="E2391" s="3">
        <v>1</v>
      </c>
      <c r="F2391" s="3">
        <v>0</v>
      </c>
      <c r="G2391" s="3">
        <v>0</v>
      </c>
    </row>
    <row r="2392" spans="1:7" x14ac:dyDescent="0.25">
      <c r="A2392" t="s">
        <v>136</v>
      </c>
      <c r="B2392" t="s">
        <v>4</v>
      </c>
      <c r="C2392">
        <v>1</v>
      </c>
      <c r="D2392">
        <v>0</v>
      </c>
      <c r="E2392">
        <v>0</v>
      </c>
      <c r="F2392">
        <v>0</v>
      </c>
      <c r="G2392">
        <v>0</v>
      </c>
    </row>
    <row r="2393" spans="1:7" x14ac:dyDescent="0.25">
      <c r="A2393" t="s">
        <v>136</v>
      </c>
      <c r="B2393" t="s">
        <v>5</v>
      </c>
      <c r="C2393">
        <v>23</v>
      </c>
      <c r="D2393">
        <v>20</v>
      </c>
      <c r="E2393">
        <f>9+6</f>
        <v>15</v>
      </c>
      <c r="F2393">
        <f>11-8+2</f>
        <v>5</v>
      </c>
      <c r="G2393">
        <v>2</v>
      </c>
    </row>
    <row r="2394" spans="1:7" x14ac:dyDescent="0.25">
      <c r="A2394" s="3" t="s">
        <v>136</v>
      </c>
      <c r="B2394" s="3" t="s">
        <v>5</v>
      </c>
      <c r="C2394" s="3">
        <v>10</v>
      </c>
      <c r="D2394" s="3">
        <v>9</v>
      </c>
      <c r="E2394" s="3">
        <v>8</v>
      </c>
      <c r="F2394" s="3">
        <v>1</v>
      </c>
      <c r="G2394" s="3">
        <v>0</v>
      </c>
    </row>
    <row r="2395" spans="1:7" x14ac:dyDescent="0.25">
      <c r="A2395" t="s">
        <v>136</v>
      </c>
      <c r="B2395" t="s">
        <v>185</v>
      </c>
      <c r="C2395">
        <f>21+2</f>
        <v>23</v>
      </c>
      <c r="D2395">
        <f>19+2</f>
        <v>21</v>
      </c>
      <c r="E2395">
        <f>9+4</f>
        <v>13</v>
      </c>
      <c r="F2395">
        <f>12-6+2</f>
        <v>8</v>
      </c>
      <c r="G2395">
        <v>0</v>
      </c>
    </row>
    <row r="2396" spans="1:7" x14ac:dyDescent="0.25">
      <c r="A2396" s="3" t="s">
        <v>136</v>
      </c>
      <c r="B2396" s="3" t="s">
        <v>185</v>
      </c>
      <c r="C2396" s="3">
        <v>17</v>
      </c>
      <c r="D2396" s="3">
        <v>16</v>
      </c>
      <c r="E2396" s="3">
        <v>14</v>
      </c>
      <c r="F2396" s="3">
        <v>2</v>
      </c>
      <c r="G2396" s="3">
        <v>0</v>
      </c>
    </row>
    <row r="2397" spans="1:7" x14ac:dyDescent="0.25">
      <c r="A2397" t="s">
        <v>136</v>
      </c>
      <c r="B2397" t="s">
        <v>186</v>
      </c>
      <c r="C2397">
        <v>38</v>
      </c>
      <c r="D2397">
        <v>37</v>
      </c>
      <c r="E2397">
        <f>34+2</f>
        <v>36</v>
      </c>
      <c r="F2397">
        <f>3-2+0</f>
        <v>1</v>
      </c>
      <c r="G2397">
        <v>0</v>
      </c>
    </row>
    <row r="2398" spans="1:7" x14ac:dyDescent="0.25">
      <c r="A2398" s="3" t="s">
        <v>136</v>
      </c>
      <c r="B2398" s="3" t="s">
        <v>186</v>
      </c>
      <c r="C2398" s="3">
        <v>16</v>
      </c>
      <c r="D2398" s="3">
        <v>16</v>
      </c>
      <c r="E2398" s="3">
        <v>16</v>
      </c>
      <c r="F2398" s="3">
        <v>0</v>
      </c>
      <c r="G2398" s="3">
        <v>0</v>
      </c>
    </row>
    <row r="2399" spans="1:7" x14ac:dyDescent="0.25">
      <c r="A2399" t="s">
        <v>136</v>
      </c>
      <c r="B2399" t="s">
        <v>187</v>
      </c>
      <c r="C2399">
        <f>60+4</f>
        <v>64</v>
      </c>
      <c r="D2399">
        <f>59+3</f>
        <v>62</v>
      </c>
      <c r="E2399">
        <f>36+8</f>
        <v>44</v>
      </c>
      <c r="F2399">
        <f>26-11+3</f>
        <v>18</v>
      </c>
      <c r="G2399">
        <v>0</v>
      </c>
    </row>
    <row r="2400" spans="1:7" x14ac:dyDescent="0.25">
      <c r="A2400" s="3" t="s">
        <v>136</v>
      </c>
      <c r="B2400" s="3" t="s">
        <v>187</v>
      </c>
      <c r="C2400" s="3">
        <v>42</v>
      </c>
      <c r="D2400" s="3">
        <v>42</v>
      </c>
      <c r="E2400" s="3">
        <v>32</v>
      </c>
      <c r="F2400" s="3">
        <v>10</v>
      </c>
      <c r="G2400" s="3">
        <v>0</v>
      </c>
    </row>
    <row r="2401" spans="1:12" x14ac:dyDescent="0.25">
      <c r="A2401" t="s">
        <v>136</v>
      </c>
      <c r="B2401" t="s">
        <v>6</v>
      </c>
      <c r="C2401">
        <v>71</v>
      </c>
      <c r="D2401">
        <v>70</v>
      </c>
      <c r="E2401">
        <v>70</v>
      </c>
      <c r="F2401">
        <v>0</v>
      </c>
      <c r="G2401">
        <v>0</v>
      </c>
    </row>
    <row r="2402" spans="1:12" x14ac:dyDescent="0.25">
      <c r="A2402" s="3" t="s">
        <v>136</v>
      </c>
      <c r="B2402" s="3" t="s">
        <v>6</v>
      </c>
      <c r="C2402" s="3">
        <v>13</v>
      </c>
      <c r="D2402" s="3">
        <v>12</v>
      </c>
      <c r="E2402" s="3">
        <v>12</v>
      </c>
      <c r="F2402" s="3">
        <v>0</v>
      </c>
      <c r="G2402" s="3">
        <v>0</v>
      </c>
    </row>
    <row r="2403" spans="1:12" x14ac:dyDescent="0.25">
      <c r="A2403" t="s">
        <v>136</v>
      </c>
      <c r="B2403" t="s">
        <v>8</v>
      </c>
      <c r="C2403">
        <v>14</v>
      </c>
      <c r="D2403">
        <v>13</v>
      </c>
      <c r="E2403">
        <v>10</v>
      </c>
      <c r="F2403">
        <v>3</v>
      </c>
      <c r="G2403">
        <v>0</v>
      </c>
    </row>
    <row r="2404" spans="1:12" x14ac:dyDescent="0.25">
      <c r="A2404" s="3" t="s">
        <v>136</v>
      </c>
      <c r="B2404" s="3" t="s">
        <v>8</v>
      </c>
      <c r="C2404" s="3">
        <v>9</v>
      </c>
      <c r="D2404" s="3">
        <v>9</v>
      </c>
      <c r="E2404" s="3">
        <v>7</v>
      </c>
      <c r="F2404" s="3">
        <v>2</v>
      </c>
      <c r="G2404" s="3">
        <v>0</v>
      </c>
    </row>
    <row r="2405" spans="1:12" x14ac:dyDescent="0.25">
      <c r="A2405" t="s">
        <v>136</v>
      </c>
      <c r="B2405" t="s">
        <v>9</v>
      </c>
      <c r="C2405">
        <v>13</v>
      </c>
      <c r="D2405">
        <v>13</v>
      </c>
      <c r="E2405">
        <v>6</v>
      </c>
      <c r="F2405">
        <v>7</v>
      </c>
      <c r="G2405">
        <v>0</v>
      </c>
    </row>
    <row r="2406" spans="1:12" x14ac:dyDescent="0.25">
      <c r="A2406" s="3" t="s">
        <v>136</v>
      </c>
      <c r="B2406" s="3" t="s">
        <v>9</v>
      </c>
      <c r="C2406" s="3">
        <v>1</v>
      </c>
      <c r="D2406" s="3">
        <v>1</v>
      </c>
      <c r="E2406" s="3">
        <v>1</v>
      </c>
      <c r="F2406" s="3">
        <v>0</v>
      </c>
      <c r="G2406" s="3">
        <v>0</v>
      </c>
    </row>
    <row r="2407" spans="1:12" x14ac:dyDescent="0.25">
      <c r="A2407" t="s">
        <v>136</v>
      </c>
      <c r="B2407" t="s">
        <v>10</v>
      </c>
      <c r="C2407">
        <v>52</v>
      </c>
      <c r="D2407">
        <v>52</v>
      </c>
      <c r="E2407">
        <v>40</v>
      </c>
      <c r="F2407">
        <v>12</v>
      </c>
      <c r="G2407">
        <v>0</v>
      </c>
    </row>
    <row r="2408" spans="1:12" x14ac:dyDescent="0.25">
      <c r="A2408" s="3" t="s">
        <v>136</v>
      </c>
      <c r="B2408" s="3" t="s">
        <v>10</v>
      </c>
      <c r="C2408" s="3">
        <v>36</v>
      </c>
      <c r="D2408" s="3">
        <v>35</v>
      </c>
      <c r="E2408" s="3">
        <v>25</v>
      </c>
      <c r="F2408" s="3">
        <v>10</v>
      </c>
      <c r="G2408" s="3">
        <v>0</v>
      </c>
    </row>
    <row r="2409" spans="1:12" x14ac:dyDescent="0.25">
      <c r="A2409" t="s">
        <v>136</v>
      </c>
      <c r="B2409" t="s">
        <v>177</v>
      </c>
      <c r="C2409">
        <v>18</v>
      </c>
      <c r="D2409">
        <v>15</v>
      </c>
      <c r="E2409">
        <v>13</v>
      </c>
      <c r="F2409">
        <v>2</v>
      </c>
      <c r="G2409">
        <v>0</v>
      </c>
    </row>
    <row r="2410" spans="1:12" x14ac:dyDescent="0.25">
      <c r="A2410" s="3" t="s">
        <v>136</v>
      </c>
      <c r="B2410" s="3" t="s">
        <v>177</v>
      </c>
      <c r="C2410" s="3">
        <v>9</v>
      </c>
      <c r="D2410" s="3">
        <v>8</v>
      </c>
      <c r="E2410" s="3">
        <v>6</v>
      </c>
      <c r="F2410" s="3">
        <v>2</v>
      </c>
      <c r="G2410" s="3">
        <v>0</v>
      </c>
    </row>
    <row r="2411" spans="1:12" x14ac:dyDescent="0.25">
      <c r="A2411" t="s">
        <v>152</v>
      </c>
      <c r="B2411" t="s">
        <v>2</v>
      </c>
      <c r="C2411">
        <v>3</v>
      </c>
      <c r="D2411">
        <v>3</v>
      </c>
      <c r="E2411">
        <v>3</v>
      </c>
      <c r="F2411">
        <v>0</v>
      </c>
      <c r="G2411">
        <v>0</v>
      </c>
    </row>
    <row r="2412" spans="1:12" x14ac:dyDescent="0.25">
      <c r="A2412" s="3" t="s">
        <v>152</v>
      </c>
      <c r="B2412" s="3" t="s">
        <v>2</v>
      </c>
      <c r="C2412" s="3">
        <v>4</v>
      </c>
      <c r="D2412" s="3">
        <v>4</v>
      </c>
      <c r="E2412" s="3">
        <v>4</v>
      </c>
      <c r="F2412" s="3">
        <v>0</v>
      </c>
      <c r="G2412" s="3">
        <v>0</v>
      </c>
    </row>
    <row r="2413" spans="1:12" x14ac:dyDescent="0.25">
      <c r="A2413" t="s">
        <v>152</v>
      </c>
      <c r="B2413" t="s">
        <v>4</v>
      </c>
      <c r="C2413">
        <v>6</v>
      </c>
      <c r="D2413">
        <v>0</v>
      </c>
      <c r="E2413">
        <v>0</v>
      </c>
      <c r="F2413">
        <v>0</v>
      </c>
      <c r="G2413">
        <v>0</v>
      </c>
    </row>
    <row r="2414" spans="1:12" x14ac:dyDescent="0.25">
      <c r="A2414" t="s">
        <v>152</v>
      </c>
      <c r="B2414" t="s">
        <v>5</v>
      </c>
      <c r="C2414">
        <v>15</v>
      </c>
      <c r="D2414">
        <v>15</v>
      </c>
      <c r="E2414">
        <v>13</v>
      </c>
      <c r="F2414">
        <v>2</v>
      </c>
      <c r="G2414">
        <v>0</v>
      </c>
      <c r="I2414">
        <v>741</v>
      </c>
      <c r="J2414">
        <v>704</v>
      </c>
      <c r="K2414">
        <v>509</v>
      </c>
      <c r="L2414">
        <v>5</v>
      </c>
    </row>
    <row r="2415" spans="1:12" x14ac:dyDescent="0.25">
      <c r="A2415" s="3" t="s">
        <v>152</v>
      </c>
      <c r="B2415" s="3" t="s">
        <v>5</v>
      </c>
      <c r="C2415" s="3">
        <v>21</v>
      </c>
      <c r="D2415" s="3">
        <v>21</v>
      </c>
      <c r="E2415" s="3">
        <f>14+2</f>
        <v>16</v>
      </c>
      <c r="F2415" s="3">
        <f>7-2+0</f>
        <v>5</v>
      </c>
      <c r="G2415" s="3">
        <v>0</v>
      </c>
    </row>
    <row r="2416" spans="1:12" x14ac:dyDescent="0.25">
      <c r="A2416" t="s">
        <v>152</v>
      </c>
      <c r="B2416" t="s">
        <v>185</v>
      </c>
      <c r="C2416">
        <f>24+2</f>
        <v>26</v>
      </c>
      <c r="D2416">
        <f>24+2</f>
        <v>26</v>
      </c>
      <c r="E2416">
        <f>20+2</f>
        <v>22</v>
      </c>
      <c r="F2416">
        <v>4</v>
      </c>
      <c r="G2416">
        <v>0</v>
      </c>
    </row>
    <row r="2417" spans="1:7" x14ac:dyDescent="0.25">
      <c r="A2417" s="3" t="s">
        <v>152</v>
      </c>
      <c r="B2417" s="3" t="s">
        <v>185</v>
      </c>
      <c r="C2417" s="3">
        <v>23</v>
      </c>
      <c r="D2417" s="3">
        <v>23</v>
      </c>
      <c r="E2417" s="3">
        <f>18+2</f>
        <v>20</v>
      </c>
      <c r="F2417" s="3">
        <f>5-2+0</f>
        <v>3</v>
      </c>
      <c r="G2417" s="3">
        <v>0</v>
      </c>
    </row>
    <row r="2418" spans="1:7" x14ac:dyDescent="0.25">
      <c r="A2418" t="s">
        <v>152</v>
      </c>
      <c r="B2418" t="s">
        <v>186</v>
      </c>
      <c r="C2418">
        <f>69+5</f>
        <v>74</v>
      </c>
      <c r="D2418">
        <f>67+5</f>
        <v>72</v>
      </c>
      <c r="E2418">
        <f>46+13</f>
        <v>59</v>
      </c>
      <c r="F2418">
        <f>26-21+8</f>
        <v>13</v>
      </c>
      <c r="G2418">
        <v>0</v>
      </c>
    </row>
    <row r="2419" spans="1:7" x14ac:dyDescent="0.25">
      <c r="A2419" s="3" t="s">
        <v>152</v>
      </c>
      <c r="B2419" s="3" t="s">
        <v>186</v>
      </c>
      <c r="C2419" s="3">
        <v>49</v>
      </c>
      <c r="D2419" s="3">
        <v>42</v>
      </c>
      <c r="E2419" s="3">
        <v>34</v>
      </c>
      <c r="F2419" s="3">
        <v>8</v>
      </c>
      <c r="G2419" s="3">
        <v>0</v>
      </c>
    </row>
    <row r="2420" spans="1:7" x14ac:dyDescent="0.25">
      <c r="A2420" t="s">
        <v>152</v>
      </c>
      <c r="B2420" t="s">
        <v>187</v>
      </c>
      <c r="C2420">
        <v>78</v>
      </c>
      <c r="D2420">
        <v>78</v>
      </c>
      <c r="E2420">
        <f>59+7</f>
        <v>66</v>
      </c>
      <c r="F2420">
        <f>19-12+5</f>
        <v>12</v>
      </c>
      <c r="G2420">
        <v>0</v>
      </c>
    </row>
    <row r="2421" spans="1:7" x14ac:dyDescent="0.25">
      <c r="A2421" s="3" t="s">
        <v>152</v>
      </c>
      <c r="B2421" s="3" t="s">
        <v>187</v>
      </c>
      <c r="C2421" s="3">
        <v>30</v>
      </c>
      <c r="D2421" s="3">
        <v>29</v>
      </c>
      <c r="E2421" s="3">
        <v>21</v>
      </c>
      <c r="F2421" s="3">
        <v>8</v>
      </c>
      <c r="G2421" s="3">
        <v>0</v>
      </c>
    </row>
    <row r="2422" spans="1:7" x14ac:dyDescent="0.25">
      <c r="A2422" t="s">
        <v>152</v>
      </c>
      <c r="B2422" t="s">
        <v>6</v>
      </c>
      <c r="C2422">
        <v>17</v>
      </c>
      <c r="D2422">
        <v>17</v>
      </c>
      <c r="E2422">
        <v>17</v>
      </c>
      <c r="F2422">
        <v>0</v>
      </c>
      <c r="G2422">
        <v>0</v>
      </c>
    </row>
    <row r="2423" spans="1:7" x14ac:dyDescent="0.25">
      <c r="A2423" s="3" t="s">
        <v>152</v>
      </c>
      <c r="B2423" s="3" t="s">
        <v>6</v>
      </c>
      <c r="C2423" s="3">
        <v>10</v>
      </c>
      <c r="D2423" s="3">
        <v>10</v>
      </c>
      <c r="E2423" s="3">
        <v>10</v>
      </c>
      <c r="F2423" s="3">
        <v>0</v>
      </c>
      <c r="G2423" s="3">
        <v>0</v>
      </c>
    </row>
    <row r="2424" spans="1:7" x14ac:dyDescent="0.25">
      <c r="A2424" t="s">
        <v>152</v>
      </c>
      <c r="B2424" t="s">
        <v>7</v>
      </c>
      <c r="C2424">
        <v>9</v>
      </c>
      <c r="D2424">
        <v>8</v>
      </c>
      <c r="E2424">
        <v>6</v>
      </c>
      <c r="F2424">
        <v>2</v>
      </c>
      <c r="G2424">
        <v>0</v>
      </c>
    </row>
    <row r="2425" spans="1:7" x14ac:dyDescent="0.25">
      <c r="A2425" s="3" t="s">
        <v>152</v>
      </c>
      <c r="B2425" s="3" t="s">
        <v>7</v>
      </c>
      <c r="C2425" s="3">
        <v>2</v>
      </c>
      <c r="D2425" s="3">
        <v>2</v>
      </c>
      <c r="E2425" s="3">
        <v>1</v>
      </c>
      <c r="F2425" s="3">
        <v>1</v>
      </c>
      <c r="G2425" s="3">
        <v>0</v>
      </c>
    </row>
    <row r="2426" spans="1:7" x14ac:dyDescent="0.25">
      <c r="A2426" t="s">
        <v>152</v>
      </c>
      <c r="B2426" t="s">
        <v>8</v>
      </c>
      <c r="C2426">
        <v>14</v>
      </c>
      <c r="D2426">
        <v>14</v>
      </c>
      <c r="E2426">
        <v>13</v>
      </c>
      <c r="F2426">
        <v>1</v>
      </c>
      <c r="G2426">
        <v>0</v>
      </c>
    </row>
    <row r="2427" spans="1:7" x14ac:dyDescent="0.25">
      <c r="A2427" s="3" t="s">
        <v>152</v>
      </c>
      <c r="B2427" s="3" t="s">
        <v>8</v>
      </c>
      <c r="C2427" s="3">
        <v>15</v>
      </c>
      <c r="D2427" s="3">
        <v>15</v>
      </c>
      <c r="E2427" s="3">
        <v>15</v>
      </c>
      <c r="F2427" s="3">
        <v>0</v>
      </c>
      <c r="G2427" s="3">
        <v>0</v>
      </c>
    </row>
    <row r="2428" spans="1:7" x14ac:dyDescent="0.25">
      <c r="A2428" t="s">
        <v>152</v>
      </c>
      <c r="B2428" t="s">
        <v>9</v>
      </c>
      <c r="C2428">
        <v>12</v>
      </c>
      <c r="D2428">
        <v>11</v>
      </c>
      <c r="E2428">
        <v>11</v>
      </c>
      <c r="F2428">
        <v>0</v>
      </c>
      <c r="G2428">
        <v>0</v>
      </c>
    </row>
    <row r="2429" spans="1:7" x14ac:dyDescent="0.25">
      <c r="A2429" s="3" t="s">
        <v>152</v>
      </c>
      <c r="B2429" s="3" t="s">
        <v>9</v>
      </c>
      <c r="C2429" s="3">
        <v>8</v>
      </c>
      <c r="D2429" s="3">
        <v>8</v>
      </c>
      <c r="E2429" s="3">
        <v>8</v>
      </c>
      <c r="F2429" s="3">
        <v>0</v>
      </c>
      <c r="G2429" s="3">
        <v>0</v>
      </c>
    </row>
    <row r="2430" spans="1:7" x14ac:dyDescent="0.25">
      <c r="A2430" t="s">
        <v>152</v>
      </c>
      <c r="B2430" t="s">
        <v>10</v>
      </c>
      <c r="C2430">
        <v>73</v>
      </c>
      <c r="D2430">
        <v>73</v>
      </c>
      <c r="E2430">
        <v>70</v>
      </c>
      <c r="F2430">
        <v>3</v>
      </c>
      <c r="G2430">
        <v>0</v>
      </c>
    </row>
    <row r="2431" spans="1:7" x14ac:dyDescent="0.25">
      <c r="A2431" s="3" t="s">
        <v>152</v>
      </c>
      <c r="B2431" s="3" t="s">
        <v>10</v>
      </c>
      <c r="C2431" s="3">
        <v>37</v>
      </c>
      <c r="D2431" s="3">
        <v>37</v>
      </c>
      <c r="E2431" s="3">
        <v>29</v>
      </c>
      <c r="F2431" s="3">
        <v>8</v>
      </c>
      <c r="G2431" s="3">
        <v>0</v>
      </c>
    </row>
    <row r="2432" spans="1:7" x14ac:dyDescent="0.25">
      <c r="A2432" t="s">
        <v>152</v>
      </c>
      <c r="B2432" t="s">
        <v>177</v>
      </c>
      <c r="C2432">
        <v>24</v>
      </c>
      <c r="D2432">
        <v>23</v>
      </c>
      <c r="E2432">
        <v>17</v>
      </c>
      <c r="F2432">
        <v>6</v>
      </c>
      <c r="G2432">
        <v>0</v>
      </c>
    </row>
    <row r="2433" spans="1:12" x14ac:dyDescent="0.25">
      <c r="A2433" s="3" t="s">
        <v>152</v>
      </c>
      <c r="B2433" s="3" t="s">
        <v>177</v>
      </c>
      <c r="C2433" s="3">
        <v>10</v>
      </c>
      <c r="D2433" s="3">
        <v>6</v>
      </c>
      <c r="E2433" s="3">
        <v>4</v>
      </c>
      <c r="F2433" s="3">
        <v>2</v>
      </c>
      <c r="G2433" s="3">
        <v>0</v>
      </c>
    </row>
    <row r="2434" spans="1:12" x14ac:dyDescent="0.25">
      <c r="A2434" t="s">
        <v>132</v>
      </c>
      <c r="B2434" t="s">
        <v>2</v>
      </c>
      <c r="C2434">
        <v>2</v>
      </c>
      <c r="D2434">
        <v>0</v>
      </c>
      <c r="E2434">
        <v>0</v>
      </c>
      <c r="F2434">
        <v>0</v>
      </c>
      <c r="G2434">
        <v>0</v>
      </c>
    </row>
    <row r="2435" spans="1:12" x14ac:dyDescent="0.25">
      <c r="A2435" t="s">
        <v>132</v>
      </c>
      <c r="B2435" t="s">
        <v>4</v>
      </c>
      <c r="C2435">
        <v>1</v>
      </c>
      <c r="D2435">
        <v>0</v>
      </c>
      <c r="E2435">
        <v>0</v>
      </c>
      <c r="F2435">
        <v>0</v>
      </c>
      <c r="G2435">
        <v>0</v>
      </c>
    </row>
    <row r="2436" spans="1:12" x14ac:dyDescent="0.25">
      <c r="A2436" t="s">
        <v>132</v>
      </c>
      <c r="B2436" t="s">
        <v>5</v>
      </c>
      <c r="C2436">
        <v>4</v>
      </c>
      <c r="D2436">
        <v>4</v>
      </c>
      <c r="E2436">
        <v>4</v>
      </c>
      <c r="F2436">
        <v>0</v>
      </c>
      <c r="G2436">
        <v>0</v>
      </c>
    </row>
    <row r="2437" spans="1:12" x14ac:dyDescent="0.25">
      <c r="A2437" s="3" t="s">
        <v>132</v>
      </c>
      <c r="B2437" s="3" t="s">
        <v>5</v>
      </c>
      <c r="C2437" s="3">
        <v>8</v>
      </c>
      <c r="D2437" s="3">
        <v>8</v>
      </c>
      <c r="E2437" s="3">
        <v>8</v>
      </c>
      <c r="F2437" s="3">
        <v>0</v>
      </c>
      <c r="G2437" s="3">
        <v>0</v>
      </c>
      <c r="I2437">
        <v>1124</v>
      </c>
      <c r="J2437">
        <v>1042</v>
      </c>
      <c r="K2437">
        <v>781</v>
      </c>
      <c r="L2437">
        <v>11</v>
      </c>
    </row>
    <row r="2438" spans="1:12" x14ac:dyDescent="0.25">
      <c r="A2438" t="s">
        <v>132</v>
      </c>
      <c r="B2438" t="s">
        <v>185</v>
      </c>
      <c r="C2438">
        <f>19+2</f>
        <v>21</v>
      </c>
      <c r="D2438">
        <f>19+2</f>
        <v>21</v>
      </c>
      <c r="E2438">
        <f>16+2</f>
        <v>18</v>
      </c>
      <c r="F2438">
        <v>3</v>
      </c>
      <c r="G2438">
        <v>0</v>
      </c>
    </row>
    <row r="2439" spans="1:12" x14ac:dyDescent="0.25">
      <c r="A2439" s="3" t="s">
        <v>132</v>
      </c>
      <c r="B2439" s="3" t="s">
        <v>185</v>
      </c>
      <c r="C2439" s="3">
        <v>7</v>
      </c>
      <c r="D2439" s="3">
        <v>7</v>
      </c>
      <c r="E2439" s="3">
        <f>5+1</f>
        <v>6</v>
      </c>
      <c r="F2439" s="3">
        <f>2-1+0</f>
        <v>1</v>
      </c>
      <c r="G2439" s="3">
        <v>0</v>
      </c>
    </row>
    <row r="2440" spans="1:12" x14ac:dyDescent="0.25">
      <c r="A2440" t="s">
        <v>132</v>
      </c>
      <c r="B2440" t="s">
        <v>186</v>
      </c>
      <c r="C2440">
        <f>31+1</f>
        <v>32</v>
      </c>
      <c r="D2440">
        <f>28+1</f>
        <v>29</v>
      </c>
      <c r="E2440">
        <f>19+1</f>
        <v>20</v>
      </c>
      <c r="F2440">
        <v>9</v>
      </c>
      <c r="G2440">
        <v>0</v>
      </c>
    </row>
    <row r="2441" spans="1:12" x14ac:dyDescent="0.25">
      <c r="A2441" s="3" t="s">
        <v>132</v>
      </c>
      <c r="B2441" s="3" t="s">
        <v>186</v>
      </c>
      <c r="C2441" s="3">
        <v>18</v>
      </c>
      <c r="D2441" s="3">
        <v>17</v>
      </c>
      <c r="E2441" s="3">
        <f>13+3</f>
        <v>16</v>
      </c>
      <c r="F2441" s="3">
        <f>4-3+0</f>
        <v>1</v>
      </c>
      <c r="G2441" s="3">
        <v>0</v>
      </c>
    </row>
    <row r="2442" spans="1:12" x14ac:dyDescent="0.25">
      <c r="A2442" t="s">
        <v>132</v>
      </c>
      <c r="B2442" t="s">
        <v>187</v>
      </c>
      <c r="C2442">
        <v>20</v>
      </c>
      <c r="D2442">
        <v>20</v>
      </c>
      <c r="E2442">
        <v>17</v>
      </c>
      <c r="F2442">
        <v>3</v>
      </c>
      <c r="G2442">
        <v>0</v>
      </c>
    </row>
    <row r="2443" spans="1:12" x14ac:dyDescent="0.25">
      <c r="A2443" s="3" t="s">
        <v>132</v>
      </c>
      <c r="B2443" s="3" t="s">
        <v>187</v>
      </c>
      <c r="C2443" s="3">
        <v>16</v>
      </c>
      <c r="D2443" s="3">
        <v>16</v>
      </c>
      <c r="E2443" s="3">
        <v>11</v>
      </c>
      <c r="F2443" s="3">
        <v>5</v>
      </c>
      <c r="G2443" s="3">
        <v>0</v>
      </c>
    </row>
    <row r="2444" spans="1:12" x14ac:dyDescent="0.25">
      <c r="A2444" t="s">
        <v>132</v>
      </c>
      <c r="B2444" t="s">
        <v>6</v>
      </c>
      <c r="C2444">
        <v>14</v>
      </c>
      <c r="D2444">
        <v>14</v>
      </c>
      <c r="E2444">
        <v>14</v>
      </c>
      <c r="F2444">
        <v>0</v>
      </c>
      <c r="G2444">
        <v>0</v>
      </c>
    </row>
    <row r="2445" spans="1:12" x14ac:dyDescent="0.25">
      <c r="A2445" s="3" t="s">
        <v>132</v>
      </c>
      <c r="B2445" s="3" t="s">
        <v>6</v>
      </c>
      <c r="C2445" s="3">
        <v>1</v>
      </c>
      <c r="D2445" s="3">
        <v>1</v>
      </c>
      <c r="E2445" s="3">
        <v>1</v>
      </c>
      <c r="F2445" s="3">
        <v>0</v>
      </c>
      <c r="G2445" s="3">
        <v>0</v>
      </c>
    </row>
    <row r="2446" spans="1:12" x14ac:dyDescent="0.25">
      <c r="A2446" t="s">
        <v>132</v>
      </c>
      <c r="B2446" t="s">
        <v>7</v>
      </c>
      <c r="C2446">
        <v>2</v>
      </c>
      <c r="D2446">
        <v>2</v>
      </c>
      <c r="E2446">
        <v>1</v>
      </c>
      <c r="F2446">
        <v>1</v>
      </c>
      <c r="G2446">
        <v>0</v>
      </c>
    </row>
    <row r="2447" spans="1:12" x14ac:dyDescent="0.25">
      <c r="A2447" s="3" t="s">
        <v>132</v>
      </c>
      <c r="B2447" s="3" t="s">
        <v>7</v>
      </c>
      <c r="C2447" s="3">
        <v>1</v>
      </c>
      <c r="D2447" s="3">
        <v>1</v>
      </c>
      <c r="E2447" s="3">
        <v>1</v>
      </c>
      <c r="F2447" s="3">
        <v>0</v>
      </c>
      <c r="G2447" s="3">
        <v>0</v>
      </c>
    </row>
    <row r="2448" spans="1:12" x14ac:dyDescent="0.25">
      <c r="A2448" t="s">
        <v>132</v>
      </c>
      <c r="B2448" t="s">
        <v>8</v>
      </c>
      <c r="C2448">
        <v>5</v>
      </c>
      <c r="D2448">
        <v>5</v>
      </c>
      <c r="E2448">
        <v>5</v>
      </c>
      <c r="F2448">
        <v>0</v>
      </c>
      <c r="G2448">
        <v>0</v>
      </c>
    </row>
    <row r="2449" spans="1:12" x14ac:dyDescent="0.25">
      <c r="A2449" s="3" t="s">
        <v>132</v>
      </c>
      <c r="B2449" s="3" t="s">
        <v>8</v>
      </c>
      <c r="C2449" s="3">
        <v>1</v>
      </c>
      <c r="D2449" s="3">
        <v>1</v>
      </c>
      <c r="E2449" s="3">
        <v>1</v>
      </c>
      <c r="F2449" s="3">
        <v>0</v>
      </c>
      <c r="G2449" s="3">
        <v>0</v>
      </c>
    </row>
    <row r="2450" spans="1:12" x14ac:dyDescent="0.25">
      <c r="A2450" s="3" t="s">
        <v>132</v>
      </c>
      <c r="B2450" s="3" t="s">
        <v>9</v>
      </c>
      <c r="C2450" s="3">
        <v>1</v>
      </c>
      <c r="D2450" s="3">
        <v>0</v>
      </c>
      <c r="E2450" s="3">
        <v>0</v>
      </c>
      <c r="F2450" s="3">
        <v>0</v>
      </c>
      <c r="G2450" s="3">
        <v>0</v>
      </c>
    </row>
    <row r="2451" spans="1:12" x14ac:dyDescent="0.25">
      <c r="A2451" t="s">
        <v>132</v>
      </c>
      <c r="B2451" t="s">
        <v>10</v>
      </c>
      <c r="C2451">
        <v>26</v>
      </c>
      <c r="D2451">
        <v>26</v>
      </c>
      <c r="E2451">
        <v>24</v>
      </c>
      <c r="F2451">
        <v>2</v>
      </c>
      <c r="G2451">
        <v>0</v>
      </c>
    </row>
    <row r="2452" spans="1:12" x14ac:dyDescent="0.25">
      <c r="A2452" s="3" t="s">
        <v>132</v>
      </c>
      <c r="B2452" s="3" t="s">
        <v>10</v>
      </c>
      <c r="C2452" s="3">
        <v>16</v>
      </c>
      <c r="D2452" s="3">
        <v>16</v>
      </c>
      <c r="E2452" s="3">
        <v>16</v>
      </c>
      <c r="F2452" s="3">
        <v>0</v>
      </c>
      <c r="G2452" s="3">
        <v>0</v>
      </c>
    </row>
    <row r="2453" spans="1:12" x14ac:dyDescent="0.25">
      <c r="A2453" t="s">
        <v>132</v>
      </c>
      <c r="B2453" t="s">
        <v>177</v>
      </c>
      <c r="C2453">
        <v>2</v>
      </c>
      <c r="D2453">
        <v>2</v>
      </c>
      <c r="E2453">
        <v>2</v>
      </c>
      <c r="F2453">
        <v>0</v>
      </c>
      <c r="G2453">
        <v>0</v>
      </c>
    </row>
    <row r="2454" spans="1:12" x14ac:dyDescent="0.25">
      <c r="A2454" s="3" t="s">
        <v>132</v>
      </c>
      <c r="B2454" s="3" t="s">
        <v>177</v>
      </c>
      <c r="C2454" s="3">
        <v>10</v>
      </c>
      <c r="D2454" s="3">
        <v>10</v>
      </c>
      <c r="E2454" s="3">
        <v>10</v>
      </c>
      <c r="F2454" s="3">
        <v>0</v>
      </c>
      <c r="G2454" s="3">
        <v>0</v>
      </c>
    </row>
    <row r="2455" spans="1:12" x14ac:dyDescent="0.25">
      <c r="A2455" t="s">
        <v>169</v>
      </c>
      <c r="B2455" t="s">
        <v>2</v>
      </c>
      <c r="C2455">
        <v>27</v>
      </c>
      <c r="D2455">
        <v>25</v>
      </c>
      <c r="E2455">
        <f>19+1</f>
        <v>20</v>
      </c>
      <c r="F2455">
        <f>6-1+0</f>
        <v>5</v>
      </c>
      <c r="G2455">
        <v>0</v>
      </c>
    </row>
    <row r="2456" spans="1:12" x14ac:dyDescent="0.25">
      <c r="A2456" s="3" t="s">
        <v>169</v>
      </c>
      <c r="B2456" s="3" t="s">
        <v>2</v>
      </c>
      <c r="C2456" s="3">
        <v>11</v>
      </c>
      <c r="D2456" s="3">
        <v>10</v>
      </c>
      <c r="E2456" s="3">
        <v>10</v>
      </c>
      <c r="F2456" s="3">
        <v>0</v>
      </c>
      <c r="G2456" s="3">
        <v>0</v>
      </c>
    </row>
    <row r="2457" spans="1:12" x14ac:dyDescent="0.25">
      <c r="A2457" t="s">
        <v>169</v>
      </c>
      <c r="B2457" t="s">
        <v>4</v>
      </c>
      <c r="C2457">
        <v>5</v>
      </c>
      <c r="D2457">
        <v>0</v>
      </c>
      <c r="E2457">
        <v>0</v>
      </c>
      <c r="F2457">
        <v>0</v>
      </c>
      <c r="G2457">
        <v>0</v>
      </c>
    </row>
    <row r="2458" spans="1:12" x14ac:dyDescent="0.25">
      <c r="A2458" t="s">
        <v>169</v>
      </c>
      <c r="B2458" t="s">
        <v>5</v>
      </c>
      <c r="C2458">
        <v>116</v>
      </c>
      <c r="D2458">
        <v>110</v>
      </c>
      <c r="E2458">
        <f>100+8</f>
        <v>108</v>
      </c>
      <c r="F2458">
        <f>11-10+1</f>
        <v>2</v>
      </c>
      <c r="G2458">
        <v>0</v>
      </c>
    </row>
    <row r="2459" spans="1:12" x14ac:dyDescent="0.25">
      <c r="A2459" s="3" t="s">
        <v>169</v>
      </c>
      <c r="B2459" s="3" t="s">
        <v>5</v>
      </c>
      <c r="C2459" s="3">
        <v>81</v>
      </c>
      <c r="D2459" s="3">
        <v>74</v>
      </c>
      <c r="E2459" s="3">
        <v>66</v>
      </c>
      <c r="F2459" s="3">
        <v>8</v>
      </c>
      <c r="G2459" s="3">
        <v>0</v>
      </c>
    </row>
    <row r="2460" spans="1:12" x14ac:dyDescent="0.25">
      <c r="A2460" t="s">
        <v>169</v>
      </c>
      <c r="B2460" t="s">
        <v>185</v>
      </c>
      <c r="C2460">
        <f>91+11</f>
        <v>102</v>
      </c>
      <c r="D2460">
        <v>85</v>
      </c>
      <c r="E2460">
        <f>47+30</f>
        <v>77</v>
      </c>
      <c r="F2460">
        <f>40-33+1</f>
        <v>8</v>
      </c>
      <c r="G2460">
        <v>0</v>
      </c>
    </row>
    <row r="2461" spans="1:12" x14ac:dyDescent="0.25">
      <c r="A2461" s="3" t="s">
        <v>169</v>
      </c>
      <c r="B2461" s="3" t="s">
        <v>185</v>
      </c>
      <c r="C2461" s="3">
        <v>86</v>
      </c>
      <c r="D2461" s="3">
        <v>79</v>
      </c>
      <c r="E2461" s="3">
        <v>60</v>
      </c>
      <c r="F2461" s="3">
        <v>19</v>
      </c>
      <c r="G2461" s="3">
        <v>0</v>
      </c>
      <c r="I2461">
        <v>851</v>
      </c>
      <c r="J2461">
        <v>823</v>
      </c>
      <c r="K2461">
        <v>618</v>
      </c>
      <c r="L2461">
        <v>5</v>
      </c>
    </row>
    <row r="2462" spans="1:12" x14ac:dyDescent="0.25">
      <c r="A2462" t="s">
        <v>169</v>
      </c>
      <c r="B2462" t="s">
        <v>186</v>
      </c>
      <c r="C2462">
        <f>156+13</f>
        <v>169</v>
      </c>
      <c r="D2462">
        <v>141</v>
      </c>
      <c r="E2462">
        <f>122+12</f>
        <v>134</v>
      </c>
      <c r="F2462">
        <f>21-17+3</f>
        <v>7</v>
      </c>
      <c r="G2462">
        <v>7</v>
      </c>
    </row>
    <row r="2463" spans="1:12" x14ac:dyDescent="0.25">
      <c r="A2463" s="3" t="s">
        <v>169</v>
      </c>
      <c r="B2463" s="3" t="s">
        <v>186</v>
      </c>
      <c r="C2463" s="3">
        <v>133</v>
      </c>
      <c r="D2463" s="3">
        <v>98</v>
      </c>
      <c r="E2463" s="3">
        <v>90</v>
      </c>
      <c r="F2463" s="3">
        <v>8</v>
      </c>
      <c r="G2463" s="3">
        <v>6</v>
      </c>
    </row>
    <row r="2464" spans="1:12" x14ac:dyDescent="0.25">
      <c r="A2464" s="3" t="s">
        <v>169</v>
      </c>
      <c r="B2464" s="3" t="s">
        <v>189</v>
      </c>
      <c r="C2464" s="3">
        <v>1</v>
      </c>
      <c r="D2464" s="3">
        <v>1</v>
      </c>
      <c r="E2464" s="3">
        <v>1</v>
      </c>
      <c r="F2464" s="3">
        <v>0</v>
      </c>
      <c r="G2464" s="3">
        <v>0</v>
      </c>
    </row>
    <row r="2465" spans="1:7" x14ac:dyDescent="0.25">
      <c r="A2465" t="s">
        <v>169</v>
      </c>
      <c r="B2465" t="s">
        <v>187</v>
      </c>
      <c r="C2465">
        <f>106+1</f>
        <v>107</v>
      </c>
      <c r="D2465">
        <f>97+1</f>
        <v>98</v>
      </c>
      <c r="E2465">
        <f>69+22</f>
        <v>91</v>
      </c>
      <c r="F2465">
        <f>29-22+0</f>
        <v>7</v>
      </c>
      <c r="G2465">
        <v>0</v>
      </c>
    </row>
    <row r="2466" spans="1:7" x14ac:dyDescent="0.25">
      <c r="A2466" s="3" t="s">
        <v>169</v>
      </c>
      <c r="B2466" s="3" t="s">
        <v>187</v>
      </c>
      <c r="C2466" s="3">
        <v>62</v>
      </c>
      <c r="D2466" s="3">
        <v>59</v>
      </c>
      <c r="E2466" s="3">
        <v>41</v>
      </c>
      <c r="F2466" s="3">
        <v>18</v>
      </c>
      <c r="G2466" s="3">
        <v>0</v>
      </c>
    </row>
    <row r="2467" spans="1:7" x14ac:dyDescent="0.25">
      <c r="A2467" t="s">
        <v>169</v>
      </c>
      <c r="B2467" t="s">
        <v>6</v>
      </c>
      <c r="C2467">
        <v>46</v>
      </c>
      <c r="D2467">
        <v>45</v>
      </c>
      <c r="E2467">
        <v>45</v>
      </c>
      <c r="F2467">
        <v>0</v>
      </c>
      <c r="G2467">
        <v>0</v>
      </c>
    </row>
    <row r="2468" spans="1:7" x14ac:dyDescent="0.25">
      <c r="A2468" s="3" t="s">
        <v>169</v>
      </c>
      <c r="B2468" s="3" t="s">
        <v>6</v>
      </c>
      <c r="C2468" s="3">
        <v>41</v>
      </c>
      <c r="D2468" s="3">
        <v>40</v>
      </c>
      <c r="E2468" s="3">
        <v>40</v>
      </c>
      <c r="F2468" s="3">
        <v>0</v>
      </c>
      <c r="G2468" s="3">
        <v>0</v>
      </c>
    </row>
    <row r="2469" spans="1:7" x14ac:dyDescent="0.25">
      <c r="A2469" t="s">
        <v>169</v>
      </c>
      <c r="B2469" t="s">
        <v>7</v>
      </c>
      <c r="C2469">
        <v>34</v>
      </c>
      <c r="D2469">
        <v>30</v>
      </c>
      <c r="E2469">
        <v>28</v>
      </c>
      <c r="F2469">
        <v>2</v>
      </c>
      <c r="G2469">
        <v>0</v>
      </c>
    </row>
    <row r="2470" spans="1:7" x14ac:dyDescent="0.25">
      <c r="A2470" s="3" t="s">
        <v>169</v>
      </c>
      <c r="B2470" s="3" t="s">
        <v>7</v>
      </c>
      <c r="C2470" s="3">
        <v>17</v>
      </c>
      <c r="D2470" s="3">
        <v>16</v>
      </c>
      <c r="E2470" s="3">
        <v>14</v>
      </c>
      <c r="F2470" s="3">
        <v>2</v>
      </c>
      <c r="G2470" s="3">
        <v>0</v>
      </c>
    </row>
    <row r="2471" spans="1:7" x14ac:dyDescent="0.25">
      <c r="A2471" t="s">
        <v>169</v>
      </c>
      <c r="B2471" t="s">
        <v>8</v>
      </c>
      <c r="C2471">
        <v>70</v>
      </c>
      <c r="D2471">
        <v>69</v>
      </c>
      <c r="E2471">
        <v>54</v>
      </c>
      <c r="F2471">
        <v>15</v>
      </c>
      <c r="G2471">
        <v>0</v>
      </c>
    </row>
    <row r="2472" spans="1:7" x14ac:dyDescent="0.25">
      <c r="A2472" s="3" t="s">
        <v>169</v>
      </c>
      <c r="B2472" s="3" t="s">
        <v>8</v>
      </c>
      <c r="C2472" s="3">
        <v>37</v>
      </c>
      <c r="D2472" s="3">
        <v>33</v>
      </c>
      <c r="E2472" s="3">
        <v>30</v>
      </c>
      <c r="F2472" s="3">
        <v>3</v>
      </c>
      <c r="G2472" s="3">
        <v>0</v>
      </c>
    </row>
    <row r="2473" spans="1:7" x14ac:dyDescent="0.25">
      <c r="A2473" t="s">
        <v>169</v>
      </c>
      <c r="B2473" t="s">
        <v>9</v>
      </c>
      <c r="C2473">
        <v>44</v>
      </c>
      <c r="D2473">
        <v>34</v>
      </c>
      <c r="E2473">
        <v>33</v>
      </c>
      <c r="F2473">
        <v>1</v>
      </c>
      <c r="G2473">
        <v>1</v>
      </c>
    </row>
    <row r="2474" spans="1:7" x14ac:dyDescent="0.25">
      <c r="A2474" s="3" t="s">
        <v>169</v>
      </c>
      <c r="B2474" s="3" t="s">
        <v>9</v>
      </c>
      <c r="C2474" s="3">
        <v>8</v>
      </c>
      <c r="D2474" s="3">
        <v>8</v>
      </c>
      <c r="E2474" s="3">
        <v>8</v>
      </c>
      <c r="F2474" s="3">
        <v>0</v>
      </c>
      <c r="G2474" s="3">
        <v>0</v>
      </c>
    </row>
    <row r="2475" spans="1:7" x14ac:dyDescent="0.25">
      <c r="A2475" t="s">
        <v>169</v>
      </c>
      <c r="B2475" t="s">
        <v>10</v>
      </c>
      <c r="C2475">
        <v>124</v>
      </c>
      <c r="D2475">
        <v>124</v>
      </c>
      <c r="E2475">
        <v>102</v>
      </c>
      <c r="F2475">
        <v>22</v>
      </c>
      <c r="G2475">
        <v>0</v>
      </c>
    </row>
    <row r="2476" spans="1:7" x14ac:dyDescent="0.25">
      <c r="A2476" s="3" t="s">
        <v>169</v>
      </c>
      <c r="B2476" s="3" t="s">
        <v>10</v>
      </c>
      <c r="C2476" s="3">
        <v>103</v>
      </c>
      <c r="D2476" s="3">
        <v>100</v>
      </c>
      <c r="E2476" s="3">
        <v>71</v>
      </c>
      <c r="F2476" s="3">
        <v>29</v>
      </c>
      <c r="G2476" s="3">
        <v>0</v>
      </c>
    </row>
    <row r="2477" spans="1:7" x14ac:dyDescent="0.25">
      <c r="A2477" t="s">
        <v>169</v>
      </c>
      <c r="B2477" t="s">
        <v>177</v>
      </c>
      <c r="C2477">
        <v>83</v>
      </c>
      <c r="D2477">
        <v>80</v>
      </c>
      <c r="E2477">
        <v>63</v>
      </c>
      <c r="F2477">
        <v>17</v>
      </c>
      <c r="G2477">
        <v>0</v>
      </c>
    </row>
    <row r="2478" spans="1:7" x14ac:dyDescent="0.25">
      <c r="A2478" s="3" t="s">
        <v>169</v>
      </c>
      <c r="B2478" s="3" t="s">
        <v>177</v>
      </c>
      <c r="C2478" s="3">
        <v>50</v>
      </c>
      <c r="D2478" s="3">
        <v>43</v>
      </c>
      <c r="E2478" s="3">
        <v>42</v>
      </c>
      <c r="F2478" s="3">
        <v>1</v>
      </c>
      <c r="G2478" s="3">
        <v>0</v>
      </c>
    </row>
    <row r="2479" spans="1:7" x14ac:dyDescent="0.25">
      <c r="A2479" s="3" t="s">
        <v>93</v>
      </c>
      <c r="B2479" s="3" t="s">
        <v>1</v>
      </c>
      <c r="C2479" s="3">
        <v>2</v>
      </c>
      <c r="D2479" s="3">
        <v>2</v>
      </c>
      <c r="E2479" s="3">
        <v>2</v>
      </c>
      <c r="F2479" s="3">
        <v>0</v>
      </c>
      <c r="G2479" s="3">
        <v>0</v>
      </c>
    </row>
    <row r="2480" spans="1:7" x14ac:dyDescent="0.25">
      <c r="A2480" t="s">
        <v>93</v>
      </c>
      <c r="B2480" t="s">
        <v>2</v>
      </c>
      <c r="C2480">
        <v>5</v>
      </c>
      <c r="D2480">
        <v>3</v>
      </c>
      <c r="E2480">
        <f>2+0</f>
        <v>2</v>
      </c>
      <c r="F2480">
        <f>3-4+2</f>
        <v>1</v>
      </c>
      <c r="G2480">
        <v>0</v>
      </c>
    </row>
    <row r="2481" spans="1:7" x14ac:dyDescent="0.25">
      <c r="A2481" s="3" t="s">
        <v>93</v>
      </c>
      <c r="B2481" s="3" t="s">
        <v>2</v>
      </c>
      <c r="C2481" s="3">
        <v>8</v>
      </c>
      <c r="D2481" s="3">
        <v>8</v>
      </c>
      <c r="E2481" s="3">
        <v>8</v>
      </c>
      <c r="F2481" s="3">
        <v>0</v>
      </c>
      <c r="G2481" s="3">
        <v>0</v>
      </c>
    </row>
    <row r="2482" spans="1:7" x14ac:dyDescent="0.25">
      <c r="A2482" t="s">
        <v>93</v>
      </c>
      <c r="B2482" t="s">
        <v>97</v>
      </c>
      <c r="C2482">
        <v>2</v>
      </c>
      <c r="D2482">
        <v>0</v>
      </c>
      <c r="E2482">
        <v>0</v>
      </c>
      <c r="F2482">
        <v>0</v>
      </c>
      <c r="G2482">
        <v>0</v>
      </c>
    </row>
    <row r="2483" spans="1:7" x14ac:dyDescent="0.25">
      <c r="A2483" t="s">
        <v>93</v>
      </c>
      <c r="B2483" t="s">
        <v>5</v>
      </c>
      <c r="C2483">
        <v>7</v>
      </c>
      <c r="D2483">
        <v>7</v>
      </c>
      <c r="E2483">
        <v>7</v>
      </c>
      <c r="F2483">
        <v>0</v>
      </c>
      <c r="G2483">
        <v>0</v>
      </c>
    </row>
    <row r="2484" spans="1:7" x14ac:dyDescent="0.25">
      <c r="A2484" s="3" t="s">
        <v>93</v>
      </c>
      <c r="B2484" s="3" t="s">
        <v>5</v>
      </c>
      <c r="C2484" s="3">
        <v>11</v>
      </c>
      <c r="D2484" s="3">
        <v>10</v>
      </c>
      <c r="E2484" s="3">
        <v>8</v>
      </c>
      <c r="F2484" s="3">
        <f>2-3+3</f>
        <v>2</v>
      </c>
      <c r="G2484" s="3">
        <v>0</v>
      </c>
    </row>
    <row r="2485" spans="1:7" x14ac:dyDescent="0.25">
      <c r="A2485" t="s">
        <v>93</v>
      </c>
      <c r="B2485" t="s">
        <v>185</v>
      </c>
      <c r="C2485">
        <f>25+8</f>
        <v>33</v>
      </c>
      <c r="D2485">
        <f>24+8</f>
        <v>32</v>
      </c>
      <c r="E2485">
        <f>23+7</f>
        <v>30</v>
      </c>
      <c r="F2485">
        <f>9-7+0</f>
        <v>2</v>
      </c>
      <c r="G2485">
        <v>0</v>
      </c>
    </row>
    <row r="2486" spans="1:7" x14ac:dyDescent="0.25">
      <c r="A2486" s="3" t="s">
        <v>93</v>
      </c>
      <c r="B2486" s="3" t="s">
        <v>185</v>
      </c>
      <c r="C2486" s="3">
        <v>21</v>
      </c>
      <c r="D2486" s="3">
        <v>21</v>
      </c>
      <c r="E2486" s="3">
        <v>19</v>
      </c>
      <c r="F2486" s="3">
        <v>2</v>
      </c>
      <c r="G2486" s="3">
        <v>0</v>
      </c>
    </row>
    <row r="2487" spans="1:7" x14ac:dyDescent="0.25">
      <c r="A2487" t="s">
        <v>93</v>
      </c>
      <c r="B2487" t="s">
        <v>186</v>
      </c>
      <c r="C2487">
        <f>45+5</f>
        <v>50</v>
      </c>
      <c r="D2487">
        <f>42+5</f>
        <v>47</v>
      </c>
      <c r="E2487">
        <f>32+4</f>
        <v>36</v>
      </c>
      <c r="F2487">
        <f>10+1</f>
        <v>11</v>
      </c>
      <c r="G2487">
        <v>0</v>
      </c>
    </row>
    <row r="2488" spans="1:7" x14ac:dyDescent="0.25">
      <c r="A2488" s="3" t="s">
        <v>93</v>
      </c>
      <c r="B2488" s="3" t="s">
        <v>186</v>
      </c>
      <c r="C2488" s="3">
        <v>32</v>
      </c>
      <c r="D2488" s="3">
        <v>32</v>
      </c>
      <c r="E2488" s="3">
        <f>26+3</f>
        <v>29</v>
      </c>
      <c r="F2488" s="3">
        <f>6-5+2</f>
        <v>3</v>
      </c>
      <c r="G2488" s="3">
        <v>0</v>
      </c>
    </row>
    <row r="2489" spans="1:7" x14ac:dyDescent="0.25">
      <c r="A2489" t="s">
        <v>93</v>
      </c>
      <c r="B2489" t="s">
        <v>187</v>
      </c>
      <c r="C2489">
        <f>45+3</f>
        <v>48</v>
      </c>
      <c r="D2489">
        <f>45+3</f>
        <v>48</v>
      </c>
      <c r="E2489">
        <f>34+2</f>
        <v>36</v>
      </c>
      <c r="F2489">
        <f>11+1</f>
        <v>12</v>
      </c>
      <c r="G2489">
        <v>0</v>
      </c>
    </row>
    <row r="2490" spans="1:7" x14ac:dyDescent="0.25">
      <c r="A2490" s="3" t="s">
        <v>93</v>
      </c>
      <c r="B2490" s="3" t="s">
        <v>187</v>
      </c>
      <c r="C2490" s="3">
        <v>47</v>
      </c>
      <c r="D2490" s="3">
        <v>45</v>
      </c>
      <c r="E2490" s="3">
        <f>36+7</f>
        <v>43</v>
      </c>
      <c r="F2490" s="3">
        <f>10-9+1</f>
        <v>2</v>
      </c>
      <c r="G2490" s="3">
        <v>0</v>
      </c>
    </row>
    <row r="2491" spans="1:7" x14ac:dyDescent="0.25">
      <c r="A2491" t="s">
        <v>93</v>
      </c>
      <c r="B2491" t="s">
        <v>6</v>
      </c>
      <c r="C2491">
        <v>8</v>
      </c>
      <c r="D2491">
        <v>8</v>
      </c>
      <c r="E2491">
        <v>8</v>
      </c>
      <c r="F2491">
        <v>0</v>
      </c>
      <c r="G2491">
        <v>0</v>
      </c>
    </row>
    <row r="2492" spans="1:7" x14ac:dyDescent="0.25">
      <c r="A2492" s="3" t="s">
        <v>93</v>
      </c>
      <c r="B2492" s="3" t="s">
        <v>6</v>
      </c>
      <c r="C2492" s="3">
        <v>10</v>
      </c>
      <c r="D2492" s="3">
        <v>10</v>
      </c>
      <c r="E2492" s="3">
        <v>10</v>
      </c>
      <c r="F2492" s="3">
        <v>0</v>
      </c>
      <c r="G2492" s="3">
        <v>0</v>
      </c>
    </row>
    <row r="2493" spans="1:7" x14ac:dyDescent="0.25">
      <c r="A2493" t="s">
        <v>93</v>
      </c>
      <c r="B2493" t="s">
        <v>7</v>
      </c>
      <c r="C2493">
        <v>1</v>
      </c>
      <c r="D2493">
        <v>1</v>
      </c>
      <c r="E2493">
        <v>1</v>
      </c>
      <c r="F2493">
        <v>0</v>
      </c>
      <c r="G2493">
        <v>0</v>
      </c>
    </row>
    <row r="2494" spans="1:7" x14ac:dyDescent="0.25">
      <c r="A2494" t="s">
        <v>93</v>
      </c>
      <c r="B2494" t="s">
        <v>8</v>
      </c>
      <c r="C2494">
        <v>14</v>
      </c>
      <c r="D2494">
        <v>13</v>
      </c>
      <c r="E2494">
        <v>13</v>
      </c>
      <c r="F2494">
        <v>0</v>
      </c>
      <c r="G2494">
        <v>0</v>
      </c>
    </row>
    <row r="2495" spans="1:7" x14ac:dyDescent="0.25">
      <c r="A2495" s="3" t="s">
        <v>93</v>
      </c>
      <c r="B2495" s="3" t="s">
        <v>8</v>
      </c>
      <c r="C2495" s="3">
        <v>23</v>
      </c>
      <c r="D2495" s="3">
        <v>23</v>
      </c>
      <c r="E2495" s="3">
        <v>19</v>
      </c>
      <c r="F2495" s="3">
        <v>4</v>
      </c>
      <c r="G2495" s="3">
        <v>0</v>
      </c>
    </row>
    <row r="2496" spans="1:7" x14ac:dyDescent="0.25">
      <c r="A2496" t="s">
        <v>93</v>
      </c>
      <c r="B2496" t="s">
        <v>9</v>
      </c>
      <c r="C2496">
        <v>5</v>
      </c>
      <c r="D2496">
        <v>5</v>
      </c>
      <c r="E2496">
        <v>5</v>
      </c>
      <c r="F2496">
        <v>0</v>
      </c>
      <c r="G2496">
        <v>0</v>
      </c>
    </row>
    <row r="2497" spans="1:7" x14ac:dyDescent="0.25">
      <c r="A2497" s="3" t="s">
        <v>93</v>
      </c>
      <c r="B2497" s="3" t="s">
        <v>9</v>
      </c>
      <c r="C2497" s="3">
        <v>1</v>
      </c>
      <c r="D2497" s="3">
        <v>1</v>
      </c>
      <c r="E2497" s="3">
        <v>1</v>
      </c>
      <c r="F2497" s="3">
        <v>0</v>
      </c>
      <c r="G2497" s="3">
        <v>0</v>
      </c>
    </row>
    <row r="2498" spans="1:7" x14ac:dyDescent="0.25">
      <c r="A2498" t="s">
        <v>93</v>
      </c>
      <c r="B2498" t="s">
        <v>10</v>
      </c>
      <c r="C2498">
        <v>49</v>
      </c>
      <c r="D2498">
        <v>48</v>
      </c>
      <c r="E2498">
        <v>42</v>
      </c>
      <c r="F2498">
        <v>6</v>
      </c>
      <c r="G2498">
        <v>0</v>
      </c>
    </row>
    <row r="2499" spans="1:7" x14ac:dyDescent="0.25">
      <c r="A2499" s="3" t="s">
        <v>93</v>
      </c>
      <c r="B2499" s="3" t="s">
        <v>10</v>
      </c>
      <c r="C2499" s="3">
        <v>39</v>
      </c>
      <c r="D2499" s="3">
        <v>38</v>
      </c>
      <c r="E2499" s="3">
        <v>30</v>
      </c>
      <c r="F2499" s="3">
        <v>8</v>
      </c>
      <c r="G2499" s="3">
        <v>1</v>
      </c>
    </row>
    <row r="2500" spans="1:7" x14ac:dyDescent="0.25">
      <c r="A2500" t="s">
        <v>93</v>
      </c>
      <c r="B2500" t="s">
        <v>177</v>
      </c>
      <c r="C2500">
        <v>4</v>
      </c>
      <c r="D2500">
        <v>4</v>
      </c>
      <c r="E2500">
        <v>0</v>
      </c>
      <c r="F2500">
        <v>4</v>
      </c>
      <c r="G2500">
        <v>0</v>
      </c>
    </row>
    <row r="2501" spans="1:7" x14ac:dyDescent="0.25">
      <c r="A2501" s="3" t="s">
        <v>93</v>
      </c>
      <c r="B2501" s="3" t="s">
        <v>177</v>
      </c>
      <c r="C2501" s="3">
        <v>10</v>
      </c>
      <c r="D2501" s="3">
        <v>10</v>
      </c>
      <c r="E2501" s="3">
        <v>7</v>
      </c>
      <c r="F2501" s="3">
        <v>3</v>
      </c>
      <c r="G2501" s="3">
        <v>0</v>
      </c>
    </row>
    <row r="2502" spans="1:7" x14ac:dyDescent="0.25">
      <c r="A2502" t="s">
        <v>49</v>
      </c>
      <c r="B2502" t="s">
        <v>2</v>
      </c>
      <c r="C2502">
        <v>9</v>
      </c>
      <c r="D2502">
        <v>7</v>
      </c>
      <c r="E2502">
        <v>3</v>
      </c>
      <c r="F2502">
        <v>4</v>
      </c>
      <c r="G2502">
        <v>0</v>
      </c>
    </row>
    <row r="2503" spans="1:7" x14ac:dyDescent="0.25">
      <c r="A2503" s="3" t="s">
        <v>49</v>
      </c>
      <c r="B2503" s="3" t="s">
        <v>2</v>
      </c>
      <c r="C2503" s="3">
        <v>4</v>
      </c>
      <c r="D2503" s="3">
        <v>4</v>
      </c>
      <c r="E2503" s="3">
        <v>3</v>
      </c>
      <c r="F2503" s="3">
        <v>1</v>
      </c>
      <c r="G2503" s="3">
        <v>0</v>
      </c>
    </row>
    <row r="2504" spans="1:7" x14ac:dyDescent="0.25">
      <c r="A2504" t="s">
        <v>49</v>
      </c>
      <c r="B2504" t="s">
        <v>5</v>
      </c>
      <c r="C2504">
        <v>68</v>
      </c>
      <c r="D2504">
        <v>68</v>
      </c>
      <c r="E2504">
        <v>63</v>
      </c>
      <c r="F2504">
        <v>5</v>
      </c>
      <c r="G2504">
        <v>0</v>
      </c>
    </row>
    <row r="2505" spans="1:7" x14ac:dyDescent="0.25">
      <c r="A2505" s="3" t="s">
        <v>49</v>
      </c>
      <c r="B2505" s="3" t="s">
        <v>5</v>
      </c>
      <c r="C2505" s="3">
        <v>79</v>
      </c>
      <c r="D2505" s="3">
        <v>79</v>
      </c>
      <c r="E2505" s="3">
        <v>78</v>
      </c>
      <c r="F2505" s="3">
        <v>1</v>
      </c>
      <c r="G2505" s="3">
        <v>0</v>
      </c>
    </row>
    <row r="2506" spans="1:7" x14ac:dyDescent="0.25">
      <c r="A2506" t="s">
        <v>49</v>
      </c>
      <c r="B2506" t="s">
        <v>185</v>
      </c>
      <c r="C2506">
        <f>37+21</f>
        <v>58</v>
      </c>
      <c r="D2506">
        <f>37+21</f>
        <v>58</v>
      </c>
      <c r="E2506">
        <f>50+5</f>
        <v>55</v>
      </c>
      <c r="F2506">
        <f>8-5+0</f>
        <v>3</v>
      </c>
      <c r="G2506">
        <v>0</v>
      </c>
    </row>
    <row r="2507" spans="1:7" x14ac:dyDescent="0.25">
      <c r="A2507" s="3" t="s">
        <v>49</v>
      </c>
      <c r="B2507" s="3" t="s">
        <v>185</v>
      </c>
      <c r="C2507" s="3">
        <v>71</v>
      </c>
      <c r="D2507" s="3">
        <v>71</v>
      </c>
      <c r="E2507" s="3">
        <v>68</v>
      </c>
      <c r="F2507" s="3">
        <v>3</v>
      </c>
      <c r="G2507" s="3">
        <v>0</v>
      </c>
    </row>
    <row r="2508" spans="1:7" x14ac:dyDescent="0.25">
      <c r="A2508" t="s">
        <v>49</v>
      </c>
      <c r="B2508" t="s">
        <v>186</v>
      </c>
      <c r="C2508">
        <f>58+2</f>
        <v>60</v>
      </c>
      <c r="D2508">
        <f>53+2</f>
        <v>55</v>
      </c>
      <c r="E2508">
        <f>48+6</f>
        <v>54</v>
      </c>
      <c r="F2508">
        <f>7-6+0</f>
        <v>1</v>
      </c>
      <c r="G2508">
        <v>0</v>
      </c>
    </row>
    <row r="2509" spans="1:7" x14ac:dyDescent="0.25">
      <c r="A2509" s="3" t="s">
        <v>49</v>
      </c>
      <c r="B2509" s="3" t="s">
        <v>186</v>
      </c>
      <c r="C2509" s="3">
        <v>52</v>
      </c>
      <c r="D2509" s="3">
        <v>49</v>
      </c>
      <c r="E2509" s="3">
        <v>44</v>
      </c>
      <c r="F2509" s="3">
        <v>5</v>
      </c>
      <c r="G2509" s="3">
        <v>0</v>
      </c>
    </row>
    <row r="2510" spans="1:7" x14ac:dyDescent="0.25">
      <c r="A2510" t="s">
        <v>49</v>
      </c>
      <c r="B2510" t="s">
        <v>187</v>
      </c>
      <c r="C2510">
        <v>36</v>
      </c>
      <c r="D2510">
        <v>36</v>
      </c>
      <c r="E2510">
        <v>27</v>
      </c>
      <c r="F2510">
        <v>9</v>
      </c>
      <c r="G2510">
        <v>0</v>
      </c>
    </row>
    <row r="2511" spans="1:7" x14ac:dyDescent="0.25">
      <c r="A2511" s="3" t="s">
        <v>49</v>
      </c>
      <c r="B2511" s="3" t="s">
        <v>187</v>
      </c>
      <c r="C2511" s="3">
        <v>38</v>
      </c>
      <c r="D2511" s="3">
        <v>38</v>
      </c>
      <c r="E2511" s="3">
        <v>31</v>
      </c>
      <c r="F2511" s="3">
        <v>7</v>
      </c>
      <c r="G2511" s="3">
        <v>0</v>
      </c>
    </row>
    <row r="2512" spans="1:7" x14ac:dyDescent="0.25">
      <c r="A2512" t="s">
        <v>49</v>
      </c>
      <c r="B2512" t="s">
        <v>6</v>
      </c>
      <c r="C2512">
        <v>56</v>
      </c>
      <c r="D2512">
        <v>56</v>
      </c>
      <c r="E2512">
        <v>56</v>
      </c>
      <c r="F2512">
        <v>0</v>
      </c>
      <c r="G2512">
        <v>0</v>
      </c>
    </row>
    <row r="2513" spans="1:7" x14ac:dyDescent="0.25">
      <c r="A2513" s="3" t="s">
        <v>49</v>
      </c>
      <c r="B2513" s="3" t="s">
        <v>6</v>
      </c>
      <c r="C2513" s="3">
        <v>45</v>
      </c>
      <c r="D2513" s="3">
        <v>44</v>
      </c>
      <c r="E2513" s="3">
        <v>44</v>
      </c>
      <c r="F2513" s="3">
        <v>0</v>
      </c>
      <c r="G2513" s="3">
        <v>0</v>
      </c>
    </row>
    <row r="2514" spans="1:7" x14ac:dyDescent="0.25">
      <c r="A2514" t="s">
        <v>49</v>
      </c>
      <c r="B2514" t="s">
        <v>7</v>
      </c>
      <c r="C2514">
        <v>18</v>
      </c>
      <c r="D2514">
        <v>18</v>
      </c>
      <c r="E2514">
        <v>18</v>
      </c>
      <c r="F2514">
        <v>0</v>
      </c>
      <c r="G2514">
        <v>0</v>
      </c>
    </row>
    <row r="2515" spans="1:7" x14ac:dyDescent="0.25">
      <c r="A2515" s="3" t="s">
        <v>49</v>
      </c>
      <c r="B2515" s="3" t="s">
        <v>7</v>
      </c>
      <c r="C2515" s="3">
        <v>5</v>
      </c>
      <c r="D2515" s="3">
        <v>3</v>
      </c>
      <c r="E2515" s="3">
        <v>2</v>
      </c>
      <c r="F2515" s="3">
        <v>1</v>
      </c>
      <c r="G2515" s="3">
        <v>0</v>
      </c>
    </row>
    <row r="2516" spans="1:7" x14ac:dyDescent="0.25">
      <c r="A2516" t="s">
        <v>49</v>
      </c>
      <c r="B2516" t="s">
        <v>8</v>
      </c>
      <c r="C2516">
        <v>28</v>
      </c>
      <c r="D2516">
        <v>28</v>
      </c>
      <c r="E2516">
        <v>27</v>
      </c>
      <c r="F2516">
        <v>1</v>
      </c>
      <c r="G2516">
        <v>0</v>
      </c>
    </row>
    <row r="2517" spans="1:7" x14ac:dyDescent="0.25">
      <c r="A2517" s="3" t="s">
        <v>49</v>
      </c>
      <c r="B2517" s="3" t="s">
        <v>8</v>
      </c>
      <c r="C2517" s="3">
        <v>23</v>
      </c>
      <c r="D2517" s="3">
        <v>22</v>
      </c>
      <c r="E2517" s="3">
        <v>20</v>
      </c>
      <c r="F2517" s="3">
        <v>2</v>
      </c>
      <c r="G2517" s="3">
        <v>0</v>
      </c>
    </row>
    <row r="2518" spans="1:7" x14ac:dyDescent="0.25">
      <c r="A2518" t="s">
        <v>49</v>
      </c>
      <c r="B2518" t="s">
        <v>9</v>
      </c>
      <c r="C2518">
        <v>18</v>
      </c>
      <c r="D2518">
        <v>17</v>
      </c>
      <c r="E2518">
        <v>17</v>
      </c>
      <c r="F2518">
        <v>0</v>
      </c>
      <c r="G2518">
        <v>0</v>
      </c>
    </row>
    <row r="2519" spans="1:7" x14ac:dyDescent="0.25">
      <c r="A2519" s="3" t="s">
        <v>49</v>
      </c>
      <c r="B2519" s="3" t="s">
        <v>9</v>
      </c>
      <c r="C2519" s="3">
        <v>17</v>
      </c>
      <c r="D2519" s="3">
        <v>17</v>
      </c>
      <c r="E2519" s="3">
        <v>15</v>
      </c>
      <c r="F2519" s="3">
        <v>2</v>
      </c>
      <c r="G2519" s="3">
        <v>0</v>
      </c>
    </row>
    <row r="2520" spans="1:7" x14ac:dyDescent="0.25">
      <c r="A2520" t="s">
        <v>49</v>
      </c>
      <c r="B2520" t="s">
        <v>10</v>
      </c>
      <c r="C2520">
        <v>44</v>
      </c>
      <c r="D2520">
        <v>44</v>
      </c>
      <c r="E2520">
        <v>41</v>
      </c>
      <c r="F2520">
        <v>3</v>
      </c>
      <c r="G2520">
        <v>0</v>
      </c>
    </row>
    <row r="2521" spans="1:7" x14ac:dyDescent="0.25">
      <c r="A2521" s="3" t="s">
        <v>49</v>
      </c>
      <c r="B2521" s="3" t="s">
        <v>10</v>
      </c>
      <c r="C2521" s="3">
        <v>47</v>
      </c>
      <c r="D2521" s="3">
        <v>47</v>
      </c>
      <c r="E2521" s="3">
        <v>45</v>
      </c>
      <c r="F2521" s="3">
        <v>2</v>
      </c>
      <c r="G2521" s="3">
        <v>0</v>
      </c>
    </row>
    <row r="2522" spans="1:7" x14ac:dyDescent="0.25">
      <c r="A2522" t="s">
        <v>49</v>
      </c>
      <c r="B2522" t="s">
        <v>177</v>
      </c>
      <c r="C2522">
        <v>76</v>
      </c>
      <c r="D2522">
        <v>75</v>
      </c>
      <c r="E2522">
        <v>67</v>
      </c>
      <c r="F2522">
        <v>8</v>
      </c>
      <c r="G2522">
        <v>0</v>
      </c>
    </row>
    <row r="2523" spans="1:7" x14ac:dyDescent="0.25">
      <c r="A2523" s="3" t="s">
        <v>49</v>
      </c>
      <c r="B2523" s="3" t="s">
        <v>177</v>
      </c>
      <c r="C2523" s="3">
        <v>84</v>
      </c>
      <c r="D2523" s="3">
        <v>83</v>
      </c>
      <c r="E2523" s="3">
        <v>80</v>
      </c>
      <c r="F2523" s="3">
        <v>3</v>
      </c>
      <c r="G2523" s="3">
        <v>0</v>
      </c>
    </row>
    <row r="2524" spans="1:7" x14ac:dyDescent="0.25">
      <c r="A2524" t="s">
        <v>44</v>
      </c>
      <c r="B2524" t="s">
        <v>2</v>
      </c>
      <c r="C2524">
        <v>8</v>
      </c>
      <c r="D2524">
        <v>5</v>
      </c>
      <c r="E2524">
        <v>4</v>
      </c>
      <c r="F2524">
        <v>1</v>
      </c>
      <c r="G2524">
        <v>0</v>
      </c>
    </row>
    <row r="2525" spans="1:7" x14ac:dyDescent="0.25">
      <c r="A2525" s="3" t="s">
        <v>44</v>
      </c>
      <c r="B2525" s="3" t="s">
        <v>2</v>
      </c>
      <c r="C2525" s="3">
        <v>5</v>
      </c>
      <c r="D2525" s="3">
        <v>4</v>
      </c>
      <c r="E2525" s="3">
        <v>4</v>
      </c>
      <c r="F2525" s="3">
        <v>0</v>
      </c>
      <c r="G2525" s="3">
        <v>0</v>
      </c>
    </row>
    <row r="2526" spans="1:7" x14ac:dyDescent="0.25">
      <c r="A2526" t="s">
        <v>44</v>
      </c>
      <c r="B2526" t="s">
        <v>5</v>
      </c>
      <c r="C2526">
        <v>12</v>
      </c>
      <c r="D2526">
        <v>11</v>
      </c>
      <c r="E2526">
        <f>7+2</f>
        <v>9</v>
      </c>
      <c r="F2526">
        <f>4-2+0</f>
        <v>2</v>
      </c>
      <c r="G2526">
        <v>0</v>
      </c>
    </row>
    <row r="2527" spans="1:7" x14ac:dyDescent="0.25">
      <c r="A2527" s="3" t="s">
        <v>44</v>
      </c>
      <c r="B2527" s="3" t="s">
        <v>5</v>
      </c>
      <c r="C2527" s="3">
        <v>2</v>
      </c>
      <c r="D2527" s="3">
        <v>2</v>
      </c>
      <c r="E2527" s="3">
        <v>1</v>
      </c>
      <c r="F2527" s="3">
        <v>1</v>
      </c>
      <c r="G2527" s="3">
        <v>0</v>
      </c>
    </row>
    <row r="2528" spans="1:7" x14ac:dyDescent="0.25">
      <c r="A2528" t="s">
        <v>44</v>
      </c>
      <c r="B2528" t="s">
        <v>185</v>
      </c>
      <c r="C2528">
        <v>22</v>
      </c>
      <c r="D2528">
        <v>21</v>
      </c>
      <c r="E2528">
        <v>10</v>
      </c>
      <c r="F2528">
        <v>11</v>
      </c>
      <c r="G2528">
        <v>0</v>
      </c>
    </row>
    <row r="2529" spans="1:7" x14ac:dyDescent="0.25">
      <c r="A2529" s="3" t="s">
        <v>44</v>
      </c>
      <c r="B2529" s="3" t="s">
        <v>185</v>
      </c>
      <c r="C2529" s="3">
        <v>20</v>
      </c>
      <c r="D2529" s="3">
        <v>20</v>
      </c>
      <c r="E2529" s="3">
        <f>15+3</f>
        <v>18</v>
      </c>
      <c r="F2529" s="3">
        <f>5-4+1</f>
        <v>2</v>
      </c>
      <c r="G2529" s="3">
        <v>0</v>
      </c>
    </row>
    <row r="2530" spans="1:7" x14ac:dyDescent="0.25">
      <c r="A2530" t="s">
        <v>44</v>
      </c>
      <c r="B2530" t="s">
        <v>186</v>
      </c>
      <c r="C2530">
        <f>43+1</f>
        <v>44</v>
      </c>
      <c r="D2530">
        <f>41+1</f>
        <v>42</v>
      </c>
      <c r="E2530">
        <f>40+1</f>
        <v>41</v>
      </c>
      <c r="F2530">
        <v>1</v>
      </c>
      <c r="G2530">
        <v>0</v>
      </c>
    </row>
    <row r="2531" spans="1:7" x14ac:dyDescent="0.25">
      <c r="A2531" s="3" t="s">
        <v>44</v>
      </c>
      <c r="B2531" s="3" t="s">
        <v>186</v>
      </c>
      <c r="C2531" s="3">
        <v>30</v>
      </c>
      <c r="D2531" s="3">
        <v>28</v>
      </c>
      <c r="E2531" s="3">
        <v>25</v>
      </c>
      <c r="F2531" s="3">
        <v>3</v>
      </c>
      <c r="G2531" s="3">
        <v>0</v>
      </c>
    </row>
    <row r="2532" spans="1:7" x14ac:dyDescent="0.25">
      <c r="A2532" t="s">
        <v>44</v>
      </c>
      <c r="B2532" t="s">
        <v>187</v>
      </c>
      <c r="C2532">
        <v>24</v>
      </c>
      <c r="D2532">
        <v>24</v>
      </c>
      <c r="E2532">
        <f>14+6</f>
        <v>20</v>
      </c>
      <c r="F2532">
        <f>10-7+1</f>
        <v>4</v>
      </c>
      <c r="G2532">
        <v>0</v>
      </c>
    </row>
    <row r="2533" spans="1:7" x14ac:dyDescent="0.25">
      <c r="A2533" s="3" t="s">
        <v>44</v>
      </c>
      <c r="B2533" s="3" t="s">
        <v>187</v>
      </c>
      <c r="C2533" s="3">
        <v>14</v>
      </c>
      <c r="D2533" s="3">
        <v>13</v>
      </c>
      <c r="E2533" s="3">
        <v>11</v>
      </c>
      <c r="F2533" s="3">
        <v>2</v>
      </c>
      <c r="G2533" s="3">
        <v>1</v>
      </c>
    </row>
    <row r="2534" spans="1:7" x14ac:dyDescent="0.25">
      <c r="A2534" t="s">
        <v>44</v>
      </c>
      <c r="B2534" t="s">
        <v>6</v>
      </c>
      <c r="C2534">
        <v>4</v>
      </c>
      <c r="D2534">
        <v>4</v>
      </c>
      <c r="E2534">
        <v>4</v>
      </c>
      <c r="F2534">
        <v>0</v>
      </c>
      <c r="G2534">
        <v>0</v>
      </c>
    </row>
    <row r="2535" spans="1:7" x14ac:dyDescent="0.25">
      <c r="A2535" s="3" t="s">
        <v>44</v>
      </c>
      <c r="B2535" s="3" t="s">
        <v>6</v>
      </c>
      <c r="C2535" s="3">
        <v>13</v>
      </c>
      <c r="D2535" s="3">
        <v>12</v>
      </c>
      <c r="E2535" s="3">
        <v>12</v>
      </c>
      <c r="F2535" s="3">
        <v>0</v>
      </c>
      <c r="G2535" s="3">
        <v>1</v>
      </c>
    </row>
    <row r="2536" spans="1:7" x14ac:dyDescent="0.25">
      <c r="A2536" t="s">
        <v>44</v>
      </c>
      <c r="B2536" t="s">
        <v>7</v>
      </c>
      <c r="C2536">
        <v>7</v>
      </c>
      <c r="D2536">
        <v>7</v>
      </c>
      <c r="E2536">
        <v>6</v>
      </c>
      <c r="F2536">
        <v>1</v>
      </c>
      <c r="G2536">
        <v>0</v>
      </c>
    </row>
    <row r="2537" spans="1:7" x14ac:dyDescent="0.25">
      <c r="A2537" s="3" t="s">
        <v>44</v>
      </c>
      <c r="B2537" s="3" t="s">
        <v>7</v>
      </c>
      <c r="C2537" s="3">
        <v>4</v>
      </c>
      <c r="D2537" s="3">
        <v>3</v>
      </c>
      <c r="E2537" s="3">
        <v>2</v>
      </c>
      <c r="F2537" s="3">
        <v>1</v>
      </c>
      <c r="G2537" s="3">
        <v>0</v>
      </c>
    </row>
    <row r="2538" spans="1:7" x14ac:dyDescent="0.25">
      <c r="A2538" t="s">
        <v>44</v>
      </c>
      <c r="B2538" t="s">
        <v>8</v>
      </c>
      <c r="C2538">
        <v>2</v>
      </c>
      <c r="D2538">
        <v>2</v>
      </c>
      <c r="E2538">
        <v>1</v>
      </c>
      <c r="F2538">
        <v>1</v>
      </c>
      <c r="G2538">
        <v>0</v>
      </c>
    </row>
    <row r="2539" spans="1:7" x14ac:dyDescent="0.25">
      <c r="A2539" s="3" t="s">
        <v>44</v>
      </c>
      <c r="B2539" s="3" t="s">
        <v>8</v>
      </c>
      <c r="C2539" s="3">
        <v>5</v>
      </c>
      <c r="D2539" s="3">
        <v>4</v>
      </c>
      <c r="E2539" s="3">
        <v>2</v>
      </c>
      <c r="F2539" s="3">
        <v>2</v>
      </c>
      <c r="G2539" s="3">
        <v>0</v>
      </c>
    </row>
    <row r="2540" spans="1:7" x14ac:dyDescent="0.25">
      <c r="A2540" t="s">
        <v>44</v>
      </c>
      <c r="B2540" t="s">
        <v>9</v>
      </c>
      <c r="C2540">
        <v>2</v>
      </c>
      <c r="D2540">
        <v>2</v>
      </c>
      <c r="E2540">
        <v>2</v>
      </c>
      <c r="F2540">
        <v>0</v>
      </c>
      <c r="G2540">
        <v>0</v>
      </c>
    </row>
    <row r="2541" spans="1:7" x14ac:dyDescent="0.25">
      <c r="A2541" t="s">
        <v>44</v>
      </c>
      <c r="B2541" t="s">
        <v>10</v>
      </c>
      <c r="C2541">
        <v>23</v>
      </c>
      <c r="D2541">
        <v>23</v>
      </c>
      <c r="E2541">
        <v>22</v>
      </c>
      <c r="F2541">
        <v>1</v>
      </c>
      <c r="G2541">
        <v>0</v>
      </c>
    </row>
    <row r="2542" spans="1:7" x14ac:dyDescent="0.25">
      <c r="A2542" s="3" t="s">
        <v>44</v>
      </c>
      <c r="B2542" s="3" t="s">
        <v>10</v>
      </c>
      <c r="C2542" s="3">
        <v>28</v>
      </c>
      <c r="D2542" s="3">
        <v>25</v>
      </c>
      <c r="E2542" s="3">
        <v>18</v>
      </c>
      <c r="F2542" s="3">
        <v>7</v>
      </c>
      <c r="G2542" s="3">
        <v>0</v>
      </c>
    </row>
    <row r="2543" spans="1:7" x14ac:dyDescent="0.25">
      <c r="A2543" t="s">
        <v>44</v>
      </c>
      <c r="B2543" t="s">
        <v>177</v>
      </c>
      <c r="C2543">
        <v>7</v>
      </c>
      <c r="D2543">
        <v>6</v>
      </c>
      <c r="E2543">
        <v>6</v>
      </c>
      <c r="F2543">
        <v>0</v>
      </c>
      <c r="G2543">
        <v>0</v>
      </c>
    </row>
    <row r="2544" spans="1:7" x14ac:dyDescent="0.25">
      <c r="A2544" t="s">
        <v>115</v>
      </c>
      <c r="B2544" t="s">
        <v>2</v>
      </c>
      <c r="C2544">
        <v>5</v>
      </c>
      <c r="D2544">
        <v>2</v>
      </c>
      <c r="E2544">
        <f>2+0</f>
        <v>2</v>
      </c>
      <c r="F2544">
        <f>2-2+0</f>
        <v>0</v>
      </c>
      <c r="G2544">
        <v>0</v>
      </c>
    </row>
    <row r="2545" spans="1:7" x14ac:dyDescent="0.25">
      <c r="A2545" t="s">
        <v>115</v>
      </c>
      <c r="B2545" t="s">
        <v>4</v>
      </c>
      <c r="C2545">
        <v>1</v>
      </c>
      <c r="D2545">
        <v>0</v>
      </c>
      <c r="E2545">
        <v>0</v>
      </c>
      <c r="F2545">
        <v>0</v>
      </c>
      <c r="G2545">
        <v>0</v>
      </c>
    </row>
    <row r="2546" spans="1:7" x14ac:dyDescent="0.25">
      <c r="A2546" t="s">
        <v>115</v>
      </c>
      <c r="B2546" t="s">
        <v>5</v>
      </c>
      <c r="C2546">
        <v>21</v>
      </c>
      <c r="D2546">
        <v>20</v>
      </c>
      <c r="E2546">
        <v>20</v>
      </c>
      <c r="F2546">
        <v>0</v>
      </c>
      <c r="G2546">
        <v>0</v>
      </c>
    </row>
    <row r="2547" spans="1:7" x14ac:dyDescent="0.25">
      <c r="A2547" s="3" t="s">
        <v>115</v>
      </c>
      <c r="B2547" s="3" t="s">
        <v>5</v>
      </c>
      <c r="C2547" s="3">
        <v>15</v>
      </c>
      <c r="D2547" s="3">
        <v>15</v>
      </c>
      <c r="E2547" s="3">
        <v>13</v>
      </c>
      <c r="F2547" s="3">
        <v>2</v>
      </c>
      <c r="G2547" s="3">
        <v>0</v>
      </c>
    </row>
    <row r="2548" spans="1:7" x14ac:dyDescent="0.25">
      <c r="A2548" t="s">
        <v>115</v>
      </c>
      <c r="B2548" t="s">
        <v>185</v>
      </c>
      <c r="C2548">
        <f>28+7</f>
        <v>35</v>
      </c>
      <c r="D2548">
        <f>28+7</f>
        <v>35</v>
      </c>
      <c r="E2548">
        <v>35</v>
      </c>
      <c r="F2548">
        <v>0</v>
      </c>
      <c r="G2548">
        <v>0</v>
      </c>
    </row>
    <row r="2549" spans="1:7" x14ac:dyDescent="0.25">
      <c r="A2549" s="3" t="s">
        <v>115</v>
      </c>
      <c r="B2549" s="3" t="s">
        <v>185</v>
      </c>
      <c r="C2549" s="3">
        <v>24</v>
      </c>
      <c r="D2549" s="3">
        <v>24</v>
      </c>
      <c r="E2549" s="3">
        <v>24</v>
      </c>
      <c r="F2549" s="3">
        <v>0</v>
      </c>
      <c r="G2549" s="3">
        <v>0</v>
      </c>
    </row>
    <row r="2550" spans="1:7" x14ac:dyDescent="0.25">
      <c r="A2550" t="s">
        <v>115</v>
      </c>
      <c r="B2550" t="s">
        <v>186</v>
      </c>
      <c r="C2550">
        <f>41+1</f>
        <v>42</v>
      </c>
      <c r="D2550">
        <f>40+1</f>
        <v>41</v>
      </c>
      <c r="E2550">
        <f>38+2</f>
        <v>40</v>
      </c>
      <c r="F2550">
        <f>3-3+1</f>
        <v>1</v>
      </c>
      <c r="G2550">
        <v>0</v>
      </c>
    </row>
    <row r="2551" spans="1:7" x14ac:dyDescent="0.25">
      <c r="A2551" s="3" t="s">
        <v>115</v>
      </c>
      <c r="B2551" s="3" t="s">
        <v>186</v>
      </c>
      <c r="C2551" s="3">
        <v>30</v>
      </c>
      <c r="D2551" s="3">
        <v>29</v>
      </c>
      <c r="E2551" s="3">
        <v>29</v>
      </c>
      <c r="F2551" s="3">
        <v>0</v>
      </c>
      <c r="G2551" s="3">
        <v>0</v>
      </c>
    </row>
    <row r="2552" spans="1:7" x14ac:dyDescent="0.25">
      <c r="A2552" t="s">
        <v>115</v>
      </c>
      <c r="B2552" t="s">
        <v>187</v>
      </c>
      <c r="C2552">
        <v>28</v>
      </c>
      <c r="D2552">
        <v>26</v>
      </c>
      <c r="E2552">
        <v>24</v>
      </c>
      <c r="F2552">
        <v>2</v>
      </c>
      <c r="G2552">
        <v>0</v>
      </c>
    </row>
    <row r="2553" spans="1:7" x14ac:dyDescent="0.25">
      <c r="A2553" s="3" t="s">
        <v>115</v>
      </c>
      <c r="B2553" s="3" t="s">
        <v>187</v>
      </c>
      <c r="C2553" s="3">
        <v>66</v>
      </c>
      <c r="D2553" s="3">
        <v>66</v>
      </c>
      <c r="E2553" s="3">
        <f>60+2</f>
        <v>62</v>
      </c>
      <c r="F2553" s="3">
        <f>6-3+1</f>
        <v>4</v>
      </c>
      <c r="G2553" s="3">
        <v>0</v>
      </c>
    </row>
    <row r="2554" spans="1:7" x14ac:dyDescent="0.25">
      <c r="A2554" t="s">
        <v>115</v>
      </c>
      <c r="B2554" t="s">
        <v>6</v>
      </c>
      <c r="C2554">
        <v>12</v>
      </c>
      <c r="D2554">
        <v>12</v>
      </c>
      <c r="E2554">
        <v>11</v>
      </c>
      <c r="F2554">
        <v>1</v>
      </c>
      <c r="G2554">
        <v>0</v>
      </c>
    </row>
    <row r="2555" spans="1:7" x14ac:dyDescent="0.25">
      <c r="A2555" s="3" t="s">
        <v>115</v>
      </c>
      <c r="B2555" s="3" t="s">
        <v>6</v>
      </c>
      <c r="C2555" s="3">
        <v>5</v>
      </c>
      <c r="D2555" s="3">
        <v>5</v>
      </c>
      <c r="E2555" s="3">
        <v>5</v>
      </c>
      <c r="F2555" s="3">
        <v>0</v>
      </c>
      <c r="G2555" s="3">
        <v>0</v>
      </c>
    </row>
    <row r="2556" spans="1:7" x14ac:dyDescent="0.25">
      <c r="A2556" t="s">
        <v>115</v>
      </c>
      <c r="B2556" t="s">
        <v>8</v>
      </c>
      <c r="C2556">
        <v>12</v>
      </c>
      <c r="D2556">
        <v>12</v>
      </c>
      <c r="E2556">
        <v>12</v>
      </c>
      <c r="F2556">
        <v>0</v>
      </c>
      <c r="G2556">
        <v>0</v>
      </c>
    </row>
    <row r="2557" spans="1:7" x14ac:dyDescent="0.25">
      <c r="A2557" s="3" t="s">
        <v>115</v>
      </c>
      <c r="B2557" s="3" t="s">
        <v>8</v>
      </c>
      <c r="C2557" s="3">
        <v>4</v>
      </c>
      <c r="D2557" s="3">
        <v>4</v>
      </c>
      <c r="E2557" s="3">
        <v>4</v>
      </c>
      <c r="F2557" s="3">
        <v>0</v>
      </c>
      <c r="G2557" s="3">
        <v>0</v>
      </c>
    </row>
    <row r="2558" spans="1:7" x14ac:dyDescent="0.25">
      <c r="A2558" t="s">
        <v>115</v>
      </c>
      <c r="B2558" t="s">
        <v>9</v>
      </c>
      <c r="C2558">
        <v>11</v>
      </c>
      <c r="D2558">
        <v>11</v>
      </c>
      <c r="E2558">
        <v>11</v>
      </c>
      <c r="F2558">
        <v>0</v>
      </c>
      <c r="G2558">
        <v>0</v>
      </c>
    </row>
    <row r="2559" spans="1:7" x14ac:dyDescent="0.25">
      <c r="A2559" t="s">
        <v>115</v>
      </c>
      <c r="B2559" t="s">
        <v>10</v>
      </c>
      <c r="C2559">
        <v>44</v>
      </c>
      <c r="D2559">
        <v>44</v>
      </c>
      <c r="E2559">
        <v>42</v>
      </c>
      <c r="F2559">
        <v>2</v>
      </c>
      <c r="G2559">
        <v>0</v>
      </c>
    </row>
    <row r="2560" spans="1:7" x14ac:dyDescent="0.25">
      <c r="A2560" s="3" t="s">
        <v>115</v>
      </c>
      <c r="B2560" s="3" t="s">
        <v>10</v>
      </c>
      <c r="C2560" s="3">
        <v>62</v>
      </c>
      <c r="D2560" s="3">
        <v>62</v>
      </c>
      <c r="E2560" s="3">
        <v>62</v>
      </c>
      <c r="F2560" s="3">
        <v>0</v>
      </c>
      <c r="G2560" s="3">
        <v>0</v>
      </c>
    </row>
    <row r="2561" spans="1:7" x14ac:dyDescent="0.25">
      <c r="A2561" t="s">
        <v>115</v>
      </c>
      <c r="B2561" t="s">
        <v>177</v>
      </c>
      <c r="C2561">
        <v>13</v>
      </c>
      <c r="D2561">
        <v>12</v>
      </c>
      <c r="E2561">
        <v>12</v>
      </c>
      <c r="F2561">
        <v>0</v>
      </c>
      <c r="G2561">
        <v>0</v>
      </c>
    </row>
    <row r="2562" spans="1:7" x14ac:dyDescent="0.25">
      <c r="A2562" s="3" t="s">
        <v>115</v>
      </c>
      <c r="B2562" s="3" t="s">
        <v>177</v>
      </c>
      <c r="C2562" s="3">
        <v>11</v>
      </c>
      <c r="D2562" s="3">
        <v>7</v>
      </c>
      <c r="E2562" s="3">
        <v>7</v>
      </c>
      <c r="F2562" s="3">
        <v>0</v>
      </c>
      <c r="G2562" s="3">
        <v>0</v>
      </c>
    </row>
    <row r="2563" spans="1:7" x14ac:dyDescent="0.25">
      <c r="A2563" t="s">
        <v>127</v>
      </c>
      <c r="B2563" t="s">
        <v>2</v>
      </c>
      <c r="C2563">
        <v>1</v>
      </c>
      <c r="D2563">
        <v>0</v>
      </c>
      <c r="E2563">
        <v>0</v>
      </c>
      <c r="F2563">
        <v>0</v>
      </c>
      <c r="G2563">
        <v>0</v>
      </c>
    </row>
    <row r="2564" spans="1:7" x14ac:dyDescent="0.25">
      <c r="A2564" s="3" t="s">
        <v>127</v>
      </c>
      <c r="B2564" s="3" t="s">
        <v>5</v>
      </c>
      <c r="C2564" s="3">
        <v>1</v>
      </c>
      <c r="D2564" s="3">
        <v>1</v>
      </c>
      <c r="E2564" s="3">
        <v>1</v>
      </c>
      <c r="F2564" s="3">
        <v>0</v>
      </c>
      <c r="G2564" s="3">
        <v>0</v>
      </c>
    </row>
    <row r="2565" spans="1:7" x14ac:dyDescent="0.25">
      <c r="A2565" t="s">
        <v>127</v>
      </c>
      <c r="B2565" t="s">
        <v>185</v>
      </c>
      <c r="C2565">
        <v>5</v>
      </c>
      <c r="D2565">
        <v>5</v>
      </c>
      <c r="E2565">
        <v>5</v>
      </c>
      <c r="F2565">
        <v>0</v>
      </c>
      <c r="G2565">
        <v>0</v>
      </c>
    </row>
    <row r="2566" spans="1:7" x14ac:dyDescent="0.25">
      <c r="A2566" s="3" t="s">
        <v>127</v>
      </c>
      <c r="B2566" s="3" t="s">
        <v>185</v>
      </c>
      <c r="C2566" s="3">
        <v>2</v>
      </c>
      <c r="D2566" s="3">
        <v>2</v>
      </c>
      <c r="E2566" s="3">
        <v>1</v>
      </c>
      <c r="F2566" s="3">
        <v>1</v>
      </c>
      <c r="G2566" s="3">
        <v>0</v>
      </c>
    </row>
    <row r="2567" spans="1:7" x14ac:dyDescent="0.25">
      <c r="A2567" t="s">
        <v>127</v>
      </c>
      <c r="B2567" t="s">
        <v>186</v>
      </c>
      <c r="C2567">
        <v>10</v>
      </c>
      <c r="D2567">
        <v>10</v>
      </c>
      <c r="E2567">
        <f>6+1</f>
        <v>7</v>
      </c>
      <c r="F2567">
        <f>4-2+1</f>
        <v>3</v>
      </c>
      <c r="G2567">
        <v>0</v>
      </c>
    </row>
    <row r="2568" spans="1:7" x14ac:dyDescent="0.25">
      <c r="A2568" s="3" t="s">
        <v>127</v>
      </c>
      <c r="B2568" s="3" t="s">
        <v>186</v>
      </c>
      <c r="C2568" s="3">
        <v>10</v>
      </c>
      <c r="D2568" s="3">
        <v>10</v>
      </c>
      <c r="E2568" s="3">
        <v>10</v>
      </c>
      <c r="F2568" s="3">
        <v>0</v>
      </c>
      <c r="G2568" s="3">
        <v>0</v>
      </c>
    </row>
    <row r="2569" spans="1:7" x14ac:dyDescent="0.25">
      <c r="A2569" t="s">
        <v>127</v>
      </c>
      <c r="B2569" t="s">
        <v>187</v>
      </c>
      <c r="C2569">
        <v>3</v>
      </c>
      <c r="D2569">
        <v>3</v>
      </c>
      <c r="E2569">
        <v>3</v>
      </c>
      <c r="F2569">
        <v>0</v>
      </c>
      <c r="G2569">
        <v>0</v>
      </c>
    </row>
    <row r="2570" spans="1:7" x14ac:dyDescent="0.25">
      <c r="A2570" s="3" t="s">
        <v>127</v>
      </c>
      <c r="B2570" s="3" t="s">
        <v>187</v>
      </c>
      <c r="C2570" s="3">
        <v>3</v>
      </c>
      <c r="D2570" s="3">
        <v>3</v>
      </c>
      <c r="E2570" s="3">
        <v>3</v>
      </c>
      <c r="F2570" s="3">
        <v>0</v>
      </c>
      <c r="G2570" s="3">
        <v>0</v>
      </c>
    </row>
    <row r="2571" spans="1:7" x14ac:dyDescent="0.25">
      <c r="A2571" t="s">
        <v>127</v>
      </c>
      <c r="B2571" t="s">
        <v>6</v>
      </c>
      <c r="C2571">
        <v>1</v>
      </c>
      <c r="D2571">
        <v>1</v>
      </c>
      <c r="E2571">
        <v>1</v>
      </c>
      <c r="F2571">
        <v>0</v>
      </c>
      <c r="G2571">
        <v>0</v>
      </c>
    </row>
    <row r="2572" spans="1:7" x14ac:dyDescent="0.25">
      <c r="A2572" t="s">
        <v>127</v>
      </c>
      <c r="B2572" t="s">
        <v>10</v>
      </c>
      <c r="C2572">
        <v>4</v>
      </c>
      <c r="D2572">
        <v>4</v>
      </c>
      <c r="E2572">
        <v>4</v>
      </c>
      <c r="F2572">
        <v>0</v>
      </c>
      <c r="G2572">
        <v>0</v>
      </c>
    </row>
    <row r="2573" spans="1:7" x14ac:dyDescent="0.25">
      <c r="A2573" s="3" t="s">
        <v>127</v>
      </c>
      <c r="B2573" s="3" t="s">
        <v>10</v>
      </c>
      <c r="C2573" s="3">
        <v>2</v>
      </c>
      <c r="D2573" s="3">
        <v>2</v>
      </c>
      <c r="E2573" s="3">
        <v>2</v>
      </c>
      <c r="F2573" s="3">
        <v>0</v>
      </c>
      <c r="G2573" s="3">
        <v>0</v>
      </c>
    </row>
    <row r="2574" spans="1:7" x14ac:dyDescent="0.25">
      <c r="A2574" s="3" t="s">
        <v>127</v>
      </c>
      <c r="B2574" s="3" t="s">
        <v>177</v>
      </c>
      <c r="C2574" s="3">
        <v>1</v>
      </c>
      <c r="D2574" s="3">
        <v>1</v>
      </c>
      <c r="E2574" s="3">
        <v>1</v>
      </c>
      <c r="F2574" s="3">
        <v>0</v>
      </c>
      <c r="G2574" s="3">
        <v>0</v>
      </c>
    </row>
    <row r="2575" spans="1:7" x14ac:dyDescent="0.25">
      <c r="A2575" t="s">
        <v>122</v>
      </c>
      <c r="B2575" t="s">
        <v>2</v>
      </c>
      <c r="C2575">
        <v>8</v>
      </c>
      <c r="D2575">
        <v>7</v>
      </c>
      <c r="E2575">
        <v>7</v>
      </c>
      <c r="F2575">
        <v>0</v>
      </c>
      <c r="G2575">
        <v>0</v>
      </c>
    </row>
    <row r="2576" spans="1:7" x14ac:dyDescent="0.25">
      <c r="A2576" s="3" t="s">
        <v>122</v>
      </c>
      <c r="B2576" s="3" t="s">
        <v>2</v>
      </c>
      <c r="C2576" s="3">
        <v>2</v>
      </c>
      <c r="D2576" s="3">
        <v>2</v>
      </c>
      <c r="E2576" s="3">
        <v>2</v>
      </c>
      <c r="F2576" s="3">
        <v>0</v>
      </c>
      <c r="G2576" s="3">
        <v>0</v>
      </c>
    </row>
    <row r="2577" spans="1:7" x14ac:dyDescent="0.25">
      <c r="A2577" t="s">
        <v>122</v>
      </c>
      <c r="B2577" t="s">
        <v>4</v>
      </c>
      <c r="C2577">
        <v>2</v>
      </c>
      <c r="D2577">
        <v>0</v>
      </c>
      <c r="E2577">
        <v>0</v>
      </c>
      <c r="F2577">
        <v>0</v>
      </c>
      <c r="G2577">
        <v>0</v>
      </c>
    </row>
    <row r="2578" spans="1:7" x14ac:dyDescent="0.25">
      <c r="A2578" t="s">
        <v>122</v>
      </c>
      <c r="B2578" t="s">
        <v>5</v>
      </c>
      <c r="C2578">
        <v>20</v>
      </c>
      <c r="D2578">
        <v>20</v>
      </c>
      <c r="E2578">
        <f>11+9</f>
        <v>20</v>
      </c>
      <c r="F2578">
        <f>9-9+0</f>
        <v>0</v>
      </c>
      <c r="G2578">
        <v>0</v>
      </c>
    </row>
    <row r="2579" spans="1:7" x14ac:dyDescent="0.25">
      <c r="A2579" s="3" t="s">
        <v>122</v>
      </c>
      <c r="B2579" s="3" t="s">
        <v>5</v>
      </c>
      <c r="C2579" s="3">
        <v>15</v>
      </c>
      <c r="D2579" s="3">
        <v>15</v>
      </c>
      <c r="E2579" s="3">
        <v>10</v>
      </c>
      <c r="F2579" s="3">
        <v>5</v>
      </c>
      <c r="G2579" s="3">
        <v>0</v>
      </c>
    </row>
    <row r="2580" spans="1:7" x14ac:dyDescent="0.25">
      <c r="A2580" t="s">
        <v>122</v>
      </c>
      <c r="B2580" t="s">
        <v>185</v>
      </c>
      <c r="C2580">
        <f>26+6</f>
        <v>32</v>
      </c>
      <c r="D2580">
        <f>26+6</f>
        <v>32</v>
      </c>
      <c r="E2580">
        <f>22+9</f>
        <v>31</v>
      </c>
      <c r="F2580">
        <f>10-9+0</f>
        <v>1</v>
      </c>
      <c r="G2580">
        <v>0</v>
      </c>
    </row>
    <row r="2581" spans="1:7" x14ac:dyDescent="0.25">
      <c r="A2581" s="3" t="s">
        <v>122</v>
      </c>
      <c r="B2581" s="3" t="s">
        <v>185</v>
      </c>
      <c r="C2581" s="3">
        <v>23</v>
      </c>
      <c r="D2581" s="3">
        <v>23</v>
      </c>
      <c r="E2581" s="3">
        <v>22</v>
      </c>
      <c r="F2581" s="3">
        <v>1</v>
      </c>
      <c r="G2581" s="3">
        <v>0</v>
      </c>
    </row>
    <row r="2582" spans="1:7" x14ac:dyDescent="0.25">
      <c r="A2582" t="s">
        <v>122</v>
      </c>
      <c r="B2582" t="s">
        <v>186</v>
      </c>
      <c r="C2582">
        <f>31+7</f>
        <v>38</v>
      </c>
      <c r="D2582">
        <f>29+7</f>
        <v>36</v>
      </c>
      <c r="E2582">
        <f>28+6</f>
        <v>34</v>
      </c>
      <c r="F2582">
        <f>8-6+0</f>
        <v>2</v>
      </c>
      <c r="G2582">
        <v>0</v>
      </c>
    </row>
    <row r="2583" spans="1:7" x14ac:dyDescent="0.25">
      <c r="A2583" s="3" t="s">
        <v>122</v>
      </c>
      <c r="B2583" s="3" t="s">
        <v>186</v>
      </c>
      <c r="C2583" s="3">
        <v>27</v>
      </c>
      <c r="D2583" s="3">
        <v>23</v>
      </c>
      <c r="E2583" s="3">
        <v>21</v>
      </c>
      <c r="F2583" s="3">
        <v>2</v>
      </c>
      <c r="G2583" s="3">
        <v>0</v>
      </c>
    </row>
    <row r="2584" spans="1:7" x14ac:dyDescent="0.25">
      <c r="A2584" t="s">
        <v>122</v>
      </c>
      <c r="B2584" t="s">
        <v>187</v>
      </c>
      <c r="C2584">
        <v>99</v>
      </c>
      <c r="D2584">
        <v>98</v>
      </c>
      <c r="E2584">
        <f>71+17</f>
        <v>88</v>
      </c>
      <c r="F2584">
        <f>27-20+3</f>
        <v>10</v>
      </c>
      <c r="G2584">
        <v>0</v>
      </c>
    </row>
    <row r="2585" spans="1:7" x14ac:dyDescent="0.25">
      <c r="A2585" s="3" t="s">
        <v>122</v>
      </c>
      <c r="B2585" s="3" t="s">
        <v>187</v>
      </c>
      <c r="C2585" s="3">
        <v>53</v>
      </c>
      <c r="D2585" s="3">
        <v>52</v>
      </c>
      <c r="E2585" s="3">
        <v>43</v>
      </c>
      <c r="F2585" s="3">
        <v>9</v>
      </c>
      <c r="G2585" s="3">
        <v>0</v>
      </c>
    </row>
    <row r="2586" spans="1:7" x14ac:dyDescent="0.25">
      <c r="A2586" t="s">
        <v>122</v>
      </c>
      <c r="B2586" t="s">
        <v>6</v>
      </c>
      <c r="C2586">
        <v>25</v>
      </c>
      <c r="D2586">
        <v>25</v>
      </c>
      <c r="E2586">
        <v>24</v>
      </c>
      <c r="F2586">
        <v>1</v>
      </c>
      <c r="G2586">
        <v>0</v>
      </c>
    </row>
    <row r="2587" spans="1:7" x14ac:dyDescent="0.25">
      <c r="A2587" s="3" t="s">
        <v>122</v>
      </c>
      <c r="B2587" s="3" t="s">
        <v>6</v>
      </c>
      <c r="C2587" s="3">
        <v>4</v>
      </c>
      <c r="D2587" s="3">
        <v>4</v>
      </c>
      <c r="E2587" s="3">
        <v>4</v>
      </c>
      <c r="F2587" s="3">
        <v>0</v>
      </c>
      <c r="G2587" s="3">
        <v>0</v>
      </c>
    </row>
    <row r="2588" spans="1:7" x14ac:dyDescent="0.25">
      <c r="A2588" s="3" t="s">
        <v>122</v>
      </c>
      <c r="B2588" s="3" t="s">
        <v>7</v>
      </c>
      <c r="C2588" s="3">
        <v>2</v>
      </c>
      <c r="D2588" s="3">
        <v>1</v>
      </c>
      <c r="E2588" s="3">
        <v>0</v>
      </c>
      <c r="F2588" s="3">
        <v>1</v>
      </c>
      <c r="G2588" s="3">
        <v>0</v>
      </c>
    </row>
    <row r="2589" spans="1:7" x14ac:dyDescent="0.25">
      <c r="A2589" t="s">
        <v>122</v>
      </c>
      <c r="B2589" t="s">
        <v>8</v>
      </c>
      <c r="C2589">
        <v>18</v>
      </c>
      <c r="D2589">
        <v>18</v>
      </c>
      <c r="E2589">
        <v>16</v>
      </c>
      <c r="F2589">
        <v>2</v>
      </c>
      <c r="G2589">
        <v>0</v>
      </c>
    </row>
    <row r="2590" spans="1:7" x14ac:dyDescent="0.25">
      <c r="A2590" s="3" t="s">
        <v>122</v>
      </c>
      <c r="B2590" s="3" t="s">
        <v>8</v>
      </c>
      <c r="C2590" s="3">
        <v>3</v>
      </c>
      <c r="D2590" s="3">
        <v>3</v>
      </c>
      <c r="E2590" s="3">
        <v>1</v>
      </c>
      <c r="F2590" s="3">
        <v>2</v>
      </c>
      <c r="G2590" s="3">
        <v>0</v>
      </c>
    </row>
    <row r="2591" spans="1:7" x14ac:dyDescent="0.25">
      <c r="A2591" t="s">
        <v>122</v>
      </c>
      <c r="B2591" t="s">
        <v>9</v>
      </c>
      <c r="C2591">
        <v>4</v>
      </c>
      <c r="D2591">
        <v>4</v>
      </c>
      <c r="E2591">
        <v>4</v>
      </c>
      <c r="F2591">
        <v>0</v>
      </c>
      <c r="G2591">
        <v>0</v>
      </c>
    </row>
    <row r="2592" spans="1:7" x14ac:dyDescent="0.25">
      <c r="A2592" s="3" t="s">
        <v>122</v>
      </c>
      <c r="B2592" s="3" t="s">
        <v>9</v>
      </c>
      <c r="C2592" s="3">
        <v>1</v>
      </c>
      <c r="D2592" s="3">
        <v>1</v>
      </c>
      <c r="E2592" s="3">
        <v>1</v>
      </c>
      <c r="F2592" s="3">
        <v>0</v>
      </c>
      <c r="G2592" s="3">
        <v>0</v>
      </c>
    </row>
    <row r="2593" spans="1:7" x14ac:dyDescent="0.25">
      <c r="A2593" t="s">
        <v>122</v>
      </c>
      <c r="B2593" t="s">
        <v>10</v>
      </c>
      <c r="C2593">
        <v>63</v>
      </c>
      <c r="D2593">
        <v>63</v>
      </c>
      <c r="E2593">
        <v>57</v>
      </c>
      <c r="F2593">
        <v>6</v>
      </c>
      <c r="G2593">
        <v>0</v>
      </c>
    </row>
    <row r="2594" spans="1:7" x14ac:dyDescent="0.25">
      <c r="A2594" s="3" t="s">
        <v>122</v>
      </c>
      <c r="B2594" s="3" t="s">
        <v>10</v>
      </c>
      <c r="C2594" s="3">
        <v>53</v>
      </c>
      <c r="D2594" s="3">
        <v>53</v>
      </c>
      <c r="E2594" s="3">
        <v>42</v>
      </c>
      <c r="F2594" s="3">
        <v>11</v>
      </c>
      <c r="G2594" s="3">
        <v>0</v>
      </c>
    </row>
    <row r="2595" spans="1:7" x14ac:dyDescent="0.25">
      <c r="A2595" t="s">
        <v>122</v>
      </c>
      <c r="B2595" t="s">
        <v>177</v>
      </c>
      <c r="C2595">
        <v>15</v>
      </c>
      <c r="D2595">
        <v>15</v>
      </c>
      <c r="E2595">
        <v>14</v>
      </c>
      <c r="F2595">
        <v>1</v>
      </c>
      <c r="G2595">
        <v>0</v>
      </c>
    </row>
    <row r="2596" spans="1:7" x14ac:dyDescent="0.25">
      <c r="A2596" s="3" t="s">
        <v>122</v>
      </c>
      <c r="B2596" s="3" t="s">
        <v>177</v>
      </c>
      <c r="C2596" s="3">
        <v>11</v>
      </c>
      <c r="D2596" s="3">
        <v>10</v>
      </c>
      <c r="E2596" s="3">
        <v>10</v>
      </c>
      <c r="F2596" s="3">
        <v>0</v>
      </c>
      <c r="G2596" s="3">
        <v>0</v>
      </c>
    </row>
    <row r="2597" spans="1:7" x14ac:dyDescent="0.25">
      <c r="A2597" t="s">
        <v>124</v>
      </c>
      <c r="B2597" t="s">
        <v>27</v>
      </c>
      <c r="C2597">
        <v>10</v>
      </c>
      <c r="D2597">
        <v>0</v>
      </c>
      <c r="E2597">
        <v>0</v>
      </c>
      <c r="F2597">
        <v>0</v>
      </c>
      <c r="G2597">
        <v>0</v>
      </c>
    </row>
    <row r="2598" spans="1:7" x14ac:dyDescent="0.25">
      <c r="A2598" s="3" t="s">
        <v>124</v>
      </c>
      <c r="B2598" s="3" t="s">
        <v>27</v>
      </c>
      <c r="C2598" s="3">
        <v>2</v>
      </c>
      <c r="D2598" s="3">
        <v>0</v>
      </c>
      <c r="E2598" s="3">
        <v>0</v>
      </c>
      <c r="F2598" s="3">
        <v>0</v>
      </c>
      <c r="G2598" s="3">
        <v>0</v>
      </c>
    </row>
    <row r="2599" spans="1:7" x14ac:dyDescent="0.25">
      <c r="A2599" t="s">
        <v>124</v>
      </c>
      <c r="B2599" t="s">
        <v>4</v>
      </c>
      <c r="C2599">
        <v>7</v>
      </c>
      <c r="D2599">
        <v>0</v>
      </c>
      <c r="E2599">
        <v>0</v>
      </c>
      <c r="F2599">
        <v>0</v>
      </c>
      <c r="G2599">
        <v>0</v>
      </c>
    </row>
    <row r="2600" spans="1:7" x14ac:dyDescent="0.25">
      <c r="A2600" t="s">
        <v>124</v>
      </c>
      <c r="B2600" t="s">
        <v>5</v>
      </c>
      <c r="C2600">
        <v>20</v>
      </c>
      <c r="D2600">
        <v>20</v>
      </c>
      <c r="E2600">
        <f>17+2</f>
        <v>19</v>
      </c>
      <c r="F2600">
        <f>3-3+1</f>
        <v>1</v>
      </c>
      <c r="G2600">
        <v>0</v>
      </c>
    </row>
    <row r="2601" spans="1:7" x14ac:dyDescent="0.25">
      <c r="A2601" s="3" t="s">
        <v>124</v>
      </c>
      <c r="B2601" s="3" t="s">
        <v>5</v>
      </c>
      <c r="C2601" s="3">
        <v>11</v>
      </c>
      <c r="D2601" s="3">
        <v>11</v>
      </c>
      <c r="E2601" s="3">
        <v>10</v>
      </c>
      <c r="F2601" s="3">
        <v>1</v>
      </c>
      <c r="G2601" s="3">
        <v>0</v>
      </c>
    </row>
    <row r="2602" spans="1:7" x14ac:dyDescent="0.25">
      <c r="A2602" t="s">
        <v>124</v>
      </c>
      <c r="B2602" t="s">
        <v>185</v>
      </c>
      <c r="C2602">
        <f>50+5</f>
        <v>55</v>
      </c>
      <c r="D2602">
        <f>50+5</f>
        <v>55</v>
      </c>
      <c r="E2602">
        <f>48+5</f>
        <v>53</v>
      </c>
      <c r="F2602">
        <f>7-5+0</f>
        <v>2</v>
      </c>
      <c r="G2602">
        <v>0</v>
      </c>
    </row>
    <row r="2603" spans="1:7" x14ac:dyDescent="0.25">
      <c r="A2603" s="3" t="s">
        <v>124</v>
      </c>
      <c r="B2603" s="3" t="s">
        <v>185</v>
      </c>
      <c r="C2603" s="3">
        <v>26</v>
      </c>
      <c r="D2603" s="3">
        <v>25</v>
      </c>
      <c r="E2603" s="3">
        <v>22</v>
      </c>
      <c r="F2603" s="3">
        <v>3</v>
      </c>
      <c r="G2603" s="3">
        <v>0</v>
      </c>
    </row>
    <row r="2604" spans="1:7" x14ac:dyDescent="0.25">
      <c r="A2604" t="s">
        <v>124</v>
      </c>
      <c r="B2604" t="s">
        <v>186</v>
      </c>
      <c r="C2604">
        <f>76+4</f>
        <v>80</v>
      </c>
      <c r="D2604">
        <f>74+4</f>
        <v>78</v>
      </c>
      <c r="E2604">
        <f>57+8</f>
        <v>65</v>
      </c>
      <c r="F2604">
        <f>21-11+3</f>
        <v>13</v>
      </c>
      <c r="G2604">
        <v>0</v>
      </c>
    </row>
    <row r="2605" spans="1:7" x14ac:dyDescent="0.25">
      <c r="A2605" s="3" t="s">
        <v>124</v>
      </c>
      <c r="B2605" s="3" t="s">
        <v>186</v>
      </c>
      <c r="C2605" s="3">
        <v>45</v>
      </c>
      <c r="D2605" s="3">
        <v>44</v>
      </c>
      <c r="E2605" s="3">
        <v>40</v>
      </c>
      <c r="F2605" s="3">
        <v>4</v>
      </c>
      <c r="G2605" s="3">
        <v>0</v>
      </c>
    </row>
    <row r="2606" spans="1:7" x14ac:dyDescent="0.25">
      <c r="A2606" t="s">
        <v>124</v>
      </c>
      <c r="B2606" t="s">
        <v>187</v>
      </c>
      <c r="C2606">
        <f>32+1</f>
        <v>33</v>
      </c>
      <c r="D2606">
        <f>31+1</f>
        <v>32</v>
      </c>
      <c r="E2606">
        <f>29+1</f>
        <v>30</v>
      </c>
      <c r="F2606">
        <v>2</v>
      </c>
      <c r="G2606">
        <v>1</v>
      </c>
    </row>
    <row r="2607" spans="1:7" x14ac:dyDescent="0.25">
      <c r="A2607" s="3" t="s">
        <v>124</v>
      </c>
      <c r="B2607" s="3" t="s">
        <v>187</v>
      </c>
      <c r="C2607" s="3">
        <v>9</v>
      </c>
      <c r="D2607" s="3">
        <v>9</v>
      </c>
      <c r="E2607" s="3">
        <v>6</v>
      </c>
      <c r="F2607" s="3">
        <v>3</v>
      </c>
      <c r="G2607" s="3">
        <v>0</v>
      </c>
    </row>
    <row r="2608" spans="1:7" x14ac:dyDescent="0.25">
      <c r="A2608" t="s">
        <v>124</v>
      </c>
      <c r="B2608" t="s">
        <v>6</v>
      </c>
      <c r="C2608">
        <v>13</v>
      </c>
      <c r="D2608">
        <v>13</v>
      </c>
      <c r="E2608">
        <v>12</v>
      </c>
      <c r="F2608">
        <v>1</v>
      </c>
      <c r="G2608">
        <v>0</v>
      </c>
    </row>
    <row r="2609" spans="1:7" x14ac:dyDescent="0.25">
      <c r="A2609" s="3" t="s">
        <v>124</v>
      </c>
      <c r="B2609" s="3" t="s">
        <v>6</v>
      </c>
      <c r="C2609" s="3">
        <v>13</v>
      </c>
      <c r="D2609" s="3">
        <v>13</v>
      </c>
      <c r="E2609" s="3">
        <v>13</v>
      </c>
      <c r="F2609" s="3">
        <v>0</v>
      </c>
      <c r="G2609" s="3">
        <v>0</v>
      </c>
    </row>
    <row r="2610" spans="1:7" x14ac:dyDescent="0.25">
      <c r="A2610" t="s">
        <v>124</v>
      </c>
      <c r="B2610" t="s">
        <v>8</v>
      </c>
      <c r="C2610">
        <v>1</v>
      </c>
      <c r="D2610">
        <v>1</v>
      </c>
      <c r="E2610">
        <v>1</v>
      </c>
      <c r="F2610">
        <v>0</v>
      </c>
      <c r="G2610">
        <v>0</v>
      </c>
    </row>
    <row r="2611" spans="1:7" x14ac:dyDescent="0.25">
      <c r="A2611" t="s">
        <v>124</v>
      </c>
      <c r="B2611" t="s">
        <v>10</v>
      </c>
      <c r="C2611">
        <v>34</v>
      </c>
      <c r="D2611">
        <v>34</v>
      </c>
      <c r="E2611">
        <v>34</v>
      </c>
      <c r="F2611">
        <v>0</v>
      </c>
      <c r="G2611">
        <v>0</v>
      </c>
    </row>
    <row r="2612" spans="1:7" x14ac:dyDescent="0.25">
      <c r="A2612" s="3" t="s">
        <v>124</v>
      </c>
      <c r="B2612" s="3" t="s">
        <v>10</v>
      </c>
      <c r="C2612" s="3">
        <v>21</v>
      </c>
      <c r="D2612" s="3">
        <v>21</v>
      </c>
      <c r="E2612" s="3">
        <v>18</v>
      </c>
      <c r="F2612" s="3">
        <v>3</v>
      </c>
      <c r="G2612" s="3">
        <v>0</v>
      </c>
    </row>
    <row r="2613" spans="1:7" x14ac:dyDescent="0.25">
      <c r="A2613" t="s">
        <v>124</v>
      </c>
      <c r="B2613" t="s">
        <v>177</v>
      </c>
      <c r="C2613">
        <v>20</v>
      </c>
      <c r="D2613">
        <v>20</v>
      </c>
      <c r="E2613">
        <v>20</v>
      </c>
      <c r="F2613">
        <v>0</v>
      </c>
      <c r="G2613">
        <v>0</v>
      </c>
    </row>
    <row r="2614" spans="1:7" x14ac:dyDescent="0.25">
      <c r="A2614" s="3" t="s">
        <v>124</v>
      </c>
      <c r="B2614" s="3" t="s">
        <v>177</v>
      </c>
      <c r="C2614" s="3">
        <v>2</v>
      </c>
      <c r="D2614" s="3">
        <v>0</v>
      </c>
      <c r="E2614" s="3">
        <v>0</v>
      </c>
      <c r="F2614" s="3">
        <v>0</v>
      </c>
      <c r="G2614" s="3">
        <v>0</v>
      </c>
    </row>
    <row r="2615" spans="1:7" x14ac:dyDescent="0.25">
      <c r="A2615" t="s">
        <v>173</v>
      </c>
      <c r="B2615" t="s">
        <v>2</v>
      </c>
      <c r="C2615">
        <v>1</v>
      </c>
      <c r="D2615">
        <v>1</v>
      </c>
      <c r="E2615">
        <v>0</v>
      </c>
      <c r="F2615">
        <v>1</v>
      </c>
      <c r="G2615">
        <v>0</v>
      </c>
    </row>
    <row r="2616" spans="1:7" x14ac:dyDescent="0.25">
      <c r="A2616" s="3" t="s">
        <v>173</v>
      </c>
      <c r="B2616" s="3" t="s">
        <v>2</v>
      </c>
      <c r="C2616" s="3">
        <v>1</v>
      </c>
      <c r="D2616" s="3">
        <v>0</v>
      </c>
      <c r="E2616" s="3">
        <v>0</v>
      </c>
      <c r="F2616" s="3">
        <v>0</v>
      </c>
      <c r="G2616" s="3">
        <v>0</v>
      </c>
    </row>
    <row r="2617" spans="1:7" x14ac:dyDescent="0.25">
      <c r="A2617" t="s">
        <v>173</v>
      </c>
      <c r="B2617" t="s">
        <v>5</v>
      </c>
      <c r="C2617">
        <v>2</v>
      </c>
      <c r="D2617">
        <v>2</v>
      </c>
      <c r="E2617">
        <v>2</v>
      </c>
      <c r="F2617">
        <v>0</v>
      </c>
      <c r="G2617">
        <v>0</v>
      </c>
    </row>
    <row r="2618" spans="1:7" x14ac:dyDescent="0.25">
      <c r="A2618" s="3" t="s">
        <v>173</v>
      </c>
      <c r="B2618" s="3" t="s">
        <v>5</v>
      </c>
      <c r="C2618" s="3">
        <v>2</v>
      </c>
      <c r="D2618" s="3">
        <v>2</v>
      </c>
      <c r="E2618" s="3">
        <v>2</v>
      </c>
      <c r="F2618" s="3">
        <v>0</v>
      </c>
      <c r="G2618" s="3">
        <v>0</v>
      </c>
    </row>
    <row r="2619" spans="1:7" x14ac:dyDescent="0.25">
      <c r="A2619" t="s">
        <v>173</v>
      </c>
      <c r="B2619" t="s">
        <v>185</v>
      </c>
      <c r="C2619">
        <v>16</v>
      </c>
      <c r="D2619">
        <v>15</v>
      </c>
      <c r="E2619">
        <v>15</v>
      </c>
      <c r="F2619">
        <v>0</v>
      </c>
      <c r="G2619">
        <v>0</v>
      </c>
    </row>
    <row r="2620" spans="1:7" x14ac:dyDescent="0.25">
      <c r="A2620" s="3" t="s">
        <v>173</v>
      </c>
      <c r="B2620" s="3" t="s">
        <v>185</v>
      </c>
      <c r="C2620" s="3">
        <v>11</v>
      </c>
      <c r="D2620" s="3">
        <v>11</v>
      </c>
      <c r="E2620" s="3">
        <v>11</v>
      </c>
      <c r="F2620" s="3">
        <v>0</v>
      </c>
      <c r="G2620" s="3">
        <v>0</v>
      </c>
    </row>
    <row r="2621" spans="1:7" x14ac:dyDescent="0.25">
      <c r="A2621" t="s">
        <v>173</v>
      </c>
      <c r="B2621" t="s">
        <v>186</v>
      </c>
      <c r="C2621">
        <f>25+2</f>
        <v>27</v>
      </c>
      <c r="D2621">
        <f>22+2</f>
        <v>24</v>
      </c>
      <c r="E2621">
        <f>20+2</f>
        <v>22</v>
      </c>
      <c r="F2621">
        <v>2</v>
      </c>
      <c r="G2621">
        <v>0</v>
      </c>
    </row>
    <row r="2622" spans="1:7" x14ac:dyDescent="0.25">
      <c r="A2622" s="3" t="s">
        <v>173</v>
      </c>
      <c r="B2622" s="3" t="s">
        <v>186</v>
      </c>
      <c r="C2622" s="3">
        <v>15</v>
      </c>
      <c r="D2622" s="3">
        <v>15</v>
      </c>
      <c r="E2622" s="3">
        <f>13+1</f>
        <v>14</v>
      </c>
      <c r="F2622" s="3">
        <f>2-1+0</f>
        <v>1</v>
      </c>
      <c r="G2622" s="3">
        <v>0</v>
      </c>
    </row>
    <row r="2623" spans="1:7" x14ac:dyDescent="0.25">
      <c r="A2623" t="s">
        <v>173</v>
      </c>
      <c r="B2623" t="s">
        <v>187</v>
      </c>
      <c r="C2623">
        <f>11+2</f>
        <v>13</v>
      </c>
      <c r="D2623">
        <f>11+2</f>
        <v>13</v>
      </c>
      <c r="E2623">
        <v>13</v>
      </c>
      <c r="F2623">
        <f>1-2+1</f>
        <v>0</v>
      </c>
      <c r="G2623">
        <v>0</v>
      </c>
    </row>
    <row r="2624" spans="1:7" x14ac:dyDescent="0.25">
      <c r="A2624" s="3" t="s">
        <v>173</v>
      </c>
      <c r="B2624" s="3" t="s">
        <v>187</v>
      </c>
      <c r="C2624" s="3">
        <v>10</v>
      </c>
      <c r="D2624" s="3">
        <v>10</v>
      </c>
      <c r="E2624" s="3">
        <v>9</v>
      </c>
      <c r="F2624" s="3">
        <v>1</v>
      </c>
      <c r="G2624" s="3">
        <v>0</v>
      </c>
    </row>
    <row r="2625" spans="1:7" x14ac:dyDescent="0.25">
      <c r="A2625" t="s">
        <v>173</v>
      </c>
      <c r="B2625" t="s">
        <v>6</v>
      </c>
      <c r="C2625">
        <v>13</v>
      </c>
      <c r="D2625">
        <v>13</v>
      </c>
      <c r="E2625">
        <v>13</v>
      </c>
      <c r="F2625">
        <v>0</v>
      </c>
      <c r="G2625">
        <v>0</v>
      </c>
    </row>
    <row r="2626" spans="1:7" x14ac:dyDescent="0.25">
      <c r="A2626" s="3" t="s">
        <v>173</v>
      </c>
      <c r="B2626" s="3" t="s">
        <v>6</v>
      </c>
      <c r="C2626" s="3">
        <v>6</v>
      </c>
      <c r="D2626" s="3">
        <v>6</v>
      </c>
      <c r="E2626" s="3">
        <v>6</v>
      </c>
      <c r="F2626" s="3">
        <v>0</v>
      </c>
      <c r="G2626" s="3">
        <v>0</v>
      </c>
    </row>
    <row r="2627" spans="1:7" x14ac:dyDescent="0.25">
      <c r="A2627" t="s">
        <v>173</v>
      </c>
      <c r="B2627" t="s">
        <v>8</v>
      </c>
      <c r="C2627">
        <v>4</v>
      </c>
      <c r="D2627">
        <v>4</v>
      </c>
      <c r="E2627">
        <v>4</v>
      </c>
      <c r="F2627">
        <v>0</v>
      </c>
      <c r="G2627">
        <v>0</v>
      </c>
    </row>
    <row r="2628" spans="1:7" x14ac:dyDescent="0.25">
      <c r="A2628" s="3" t="s">
        <v>173</v>
      </c>
      <c r="B2628" s="3" t="s">
        <v>8</v>
      </c>
      <c r="C2628" s="3">
        <v>3</v>
      </c>
      <c r="D2628" s="3">
        <v>3</v>
      </c>
      <c r="E2628" s="3">
        <v>3</v>
      </c>
      <c r="F2628" s="3">
        <v>0</v>
      </c>
      <c r="G2628" s="3">
        <v>0</v>
      </c>
    </row>
    <row r="2629" spans="1:7" x14ac:dyDescent="0.25">
      <c r="A2629" t="s">
        <v>173</v>
      </c>
      <c r="B2629" t="s">
        <v>9</v>
      </c>
      <c r="C2629">
        <v>3</v>
      </c>
      <c r="D2629">
        <v>3</v>
      </c>
      <c r="E2629">
        <v>3</v>
      </c>
      <c r="F2629">
        <v>0</v>
      </c>
      <c r="G2629">
        <v>0</v>
      </c>
    </row>
    <row r="2630" spans="1:7" x14ac:dyDescent="0.25">
      <c r="A2630" s="3" t="s">
        <v>173</v>
      </c>
      <c r="B2630" s="3" t="s">
        <v>9</v>
      </c>
      <c r="C2630" s="3">
        <v>1</v>
      </c>
      <c r="D2630" s="3">
        <v>1</v>
      </c>
      <c r="E2630" s="3">
        <v>1</v>
      </c>
      <c r="F2630" s="3">
        <v>0</v>
      </c>
      <c r="G2630" s="3">
        <v>0</v>
      </c>
    </row>
    <row r="2631" spans="1:7" x14ac:dyDescent="0.25">
      <c r="A2631" t="s">
        <v>173</v>
      </c>
      <c r="B2631" t="s">
        <v>10</v>
      </c>
      <c r="C2631">
        <v>18</v>
      </c>
      <c r="D2631">
        <v>18</v>
      </c>
      <c r="E2631">
        <v>17</v>
      </c>
      <c r="F2631">
        <v>1</v>
      </c>
      <c r="G2631">
        <v>0</v>
      </c>
    </row>
    <row r="2632" spans="1:7" x14ac:dyDescent="0.25">
      <c r="A2632" s="3" t="s">
        <v>173</v>
      </c>
      <c r="B2632" s="3" t="s">
        <v>10</v>
      </c>
      <c r="C2632" s="3">
        <v>10</v>
      </c>
      <c r="D2632" s="3">
        <v>10</v>
      </c>
      <c r="E2632" s="3">
        <v>10</v>
      </c>
      <c r="F2632" s="3">
        <v>0</v>
      </c>
      <c r="G2632" s="3">
        <v>0</v>
      </c>
    </row>
    <row r="2633" spans="1:7" x14ac:dyDescent="0.25">
      <c r="A2633" t="s">
        <v>130</v>
      </c>
      <c r="B2633" t="s">
        <v>2</v>
      </c>
      <c r="C2633">
        <v>4</v>
      </c>
      <c r="D2633">
        <v>3</v>
      </c>
      <c r="E2633">
        <v>2</v>
      </c>
      <c r="F2633">
        <v>1</v>
      </c>
      <c r="G2633">
        <v>0</v>
      </c>
    </row>
    <row r="2634" spans="1:7" x14ac:dyDescent="0.25">
      <c r="A2634" s="3" t="s">
        <v>130</v>
      </c>
      <c r="B2634" s="3" t="s">
        <v>2</v>
      </c>
      <c r="C2634" s="3">
        <v>5</v>
      </c>
      <c r="D2634" s="3">
        <v>5</v>
      </c>
      <c r="E2634" s="3">
        <v>5</v>
      </c>
      <c r="F2634" s="3">
        <v>0</v>
      </c>
      <c r="G2634" s="3">
        <v>0</v>
      </c>
    </row>
    <row r="2635" spans="1:7" x14ac:dyDescent="0.25">
      <c r="A2635" t="s">
        <v>130</v>
      </c>
      <c r="B2635" t="s">
        <v>4</v>
      </c>
      <c r="C2635">
        <v>2</v>
      </c>
      <c r="D2635">
        <v>0</v>
      </c>
      <c r="E2635">
        <v>0</v>
      </c>
      <c r="F2635">
        <v>0</v>
      </c>
      <c r="G2635">
        <v>0</v>
      </c>
    </row>
    <row r="2636" spans="1:7" x14ac:dyDescent="0.25">
      <c r="A2636" t="s">
        <v>130</v>
      </c>
      <c r="B2636" t="s">
        <v>5</v>
      </c>
      <c r="C2636">
        <v>26</v>
      </c>
      <c r="D2636">
        <v>26</v>
      </c>
      <c r="E2636">
        <f>17+8</f>
        <v>25</v>
      </c>
      <c r="F2636">
        <f>9-10+2</f>
        <v>1</v>
      </c>
      <c r="G2636">
        <v>0</v>
      </c>
    </row>
    <row r="2637" spans="1:7" x14ac:dyDescent="0.25">
      <c r="A2637" s="3" t="s">
        <v>130</v>
      </c>
      <c r="B2637" s="3" t="s">
        <v>5</v>
      </c>
      <c r="C2637" s="3">
        <v>15</v>
      </c>
      <c r="D2637" s="3">
        <v>15</v>
      </c>
      <c r="E2637" s="3">
        <v>8</v>
      </c>
      <c r="F2637" s="3">
        <v>7</v>
      </c>
      <c r="G2637" s="3">
        <v>0</v>
      </c>
    </row>
    <row r="2638" spans="1:7" x14ac:dyDescent="0.25">
      <c r="A2638" t="s">
        <v>130</v>
      </c>
      <c r="B2638" t="s">
        <v>185</v>
      </c>
      <c r="C2638">
        <f>19+3</f>
        <v>22</v>
      </c>
      <c r="D2638">
        <f>19+3</f>
        <v>22</v>
      </c>
      <c r="E2638">
        <f>12+2</f>
        <v>14</v>
      </c>
      <c r="F2638">
        <f>7+1</f>
        <v>8</v>
      </c>
      <c r="G2638">
        <v>0</v>
      </c>
    </row>
    <row r="2639" spans="1:7" x14ac:dyDescent="0.25">
      <c r="A2639" s="3" t="s">
        <v>130</v>
      </c>
      <c r="B2639" s="3" t="s">
        <v>185</v>
      </c>
      <c r="C2639" s="3">
        <v>33</v>
      </c>
      <c r="D2639" s="3">
        <v>32</v>
      </c>
      <c r="E2639" s="3">
        <f>22+6</f>
        <v>28</v>
      </c>
      <c r="F2639" s="3">
        <f>11-8+1</f>
        <v>4</v>
      </c>
      <c r="G2639" s="3">
        <v>0</v>
      </c>
    </row>
    <row r="2640" spans="1:7" x14ac:dyDescent="0.25">
      <c r="A2640" t="s">
        <v>130</v>
      </c>
      <c r="B2640" t="s">
        <v>186</v>
      </c>
      <c r="C2640">
        <v>79</v>
      </c>
      <c r="D2640">
        <v>76</v>
      </c>
      <c r="E2640">
        <f>51+10</f>
        <v>61</v>
      </c>
      <c r="F2640">
        <f>26-12+1</f>
        <v>15</v>
      </c>
      <c r="G2640">
        <v>0</v>
      </c>
    </row>
    <row r="2641" spans="1:7" x14ac:dyDescent="0.25">
      <c r="A2641" s="3" t="s">
        <v>130</v>
      </c>
      <c r="B2641" s="3" t="s">
        <v>186</v>
      </c>
      <c r="C2641" s="3">
        <v>59</v>
      </c>
      <c r="D2641" s="3">
        <v>59</v>
      </c>
      <c r="E2641" s="3">
        <v>50</v>
      </c>
      <c r="F2641" s="3">
        <v>9</v>
      </c>
      <c r="G2641" s="3">
        <v>0</v>
      </c>
    </row>
    <row r="2642" spans="1:7" x14ac:dyDescent="0.25">
      <c r="A2642" t="s">
        <v>130</v>
      </c>
      <c r="B2642" t="s">
        <v>187</v>
      </c>
      <c r="C2642">
        <v>114</v>
      </c>
      <c r="D2642">
        <v>114</v>
      </c>
      <c r="E2642">
        <v>82</v>
      </c>
      <c r="F2642">
        <v>32</v>
      </c>
      <c r="G2642">
        <v>0</v>
      </c>
    </row>
    <row r="2643" spans="1:7" x14ac:dyDescent="0.25">
      <c r="A2643" s="3" t="s">
        <v>130</v>
      </c>
      <c r="B2643" s="3" t="s">
        <v>187</v>
      </c>
      <c r="C2643" s="3">
        <v>91</v>
      </c>
      <c r="D2643" s="3">
        <v>91</v>
      </c>
      <c r="E2643" s="3">
        <f>71+14</f>
        <v>85</v>
      </c>
      <c r="F2643" s="3">
        <f>20-17+3</f>
        <v>6</v>
      </c>
      <c r="G2643" s="3">
        <v>0</v>
      </c>
    </row>
    <row r="2644" spans="1:7" x14ac:dyDescent="0.25">
      <c r="A2644" t="s">
        <v>130</v>
      </c>
      <c r="B2644" t="s">
        <v>6</v>
      </c>
      <c r="C2644">
        <v>13</v>
      </c>
      <c r="D2644">
        <v>13</v>
      </c>
      <c r="E2644">
        <v>13</v>
      </c>
      <c r="F2644">
        <v>0</v>
      </c>
      <c r="G2644">
        <v>0</v>
      </c>
    </row>
    <row r="2645" spans="1:7" x14ac:dyDescent="0.25">
      <c r="A2645" s="3" t="s">
        <v>130</v>
      </c>
      <c r="B2645" s="3" t="s">
        <v>6</v>
      </c>
      <c r="C2645" s="3">
        <v>12</v>
      </c>
      <c r="D2645" s="3">
        <v>12</v>
      </c>
      <c r="E2645" s="3">
        <v>12</v>
      </c>
      <c r="F2645" s="3">
        <v>0</v>
      </c>
      <c r="G2645" s="3">
        <v>0</v>
      </c>
    </row>
    <row r="2646" spans="1:7" x14ac:dyDescent="0.25">
      <c r="A2646" s="3" t="s">
        <v>130</v>
      </c>
      <c r="B2646" s="3" t="s">
        <v>7</v>
      </c>
      <c r="C2646" s="3">
        <v>1</v>
      </c>
      <c r="D2646" s="3">
        <v>0</v>
      </c>
      <c r="E2646" s="3">
        <v>0</v>
      </c>
      <c r="F2646" s="3">
        <v>0</v>
      </c>
      <c r="G2646" s="3">
        <v>0</v>
      </c>
    </row>
    <row r="2647" spans="1:7" x14ac:dyDescent="0.25">
      <c r="A2647" t="s">
        <v>130</v>
      </c>
      <c r="B2647" t="s">
        <v>8</v>
      </c>
      <c r="C2647">
        <v>19</v>
      </c>
      <c r="D2647">
        <v>19</v>
      </c>
      <c r="E2647">
        <v>10</v>
      </c>
      <c r="F2647">
        <v>9</v>
      </c>
      <c r="G2647">
        <v>0</v>
      </c>
    </row>
    <row r="2648" spans="1:7" x14ac:dyDescent="0.25">
      <c r="A2648" s="3" t="s">
        <v>130</v>
      </c>
      <c r="B2648" s="3" t="s">
        <v>8</v>
      </c>
      <c r="C2648" s="3">
        <v>13</v>
      </c>
      <c r="D2648" s="3">
        <v>13</v>
      </c>
      <c r="E2648" s="3">
        <v>7</v>
      </c>
      <c r="F2648" s="3">
        <v>6</v>
      </c>
      <c r="G2648" s="3">
        <v>0</v>
      </c>
    </row>
    <row r="2649" spans="1:7" x14ac:dyDescent="0.25">
      <c r="A2649" t="s">
        <v>130</v>
      </c>
      <c r="B2649" t="s">
        <v>9</v>
      </c>
      <c r="C2649">
        <v>5</v>
      </c>
      <c r="D2649">
        <v>5</v>
      </c>
      <c r="E2649">
        <v>5</v>
      </c>
      <c r="F2649">
        <v>0</v>
      </c>
      <c r="G2649">
        <v>0</v>
      </c>
    </row>
    <row r="2650" spans="1:7" x14ac:dyDescent="0.25">
      <c r="A2650" s="3" t="s">
        <v>130</v>
      </c>
      <c r="B2650" s="3" t="s">
        <v>9</v>
      </c>
      <c r="C2650" s="3">
        <v>4</v>
      </c>
      <c r="D2650" s="3">
        <v>4</v>
      </c>
      <c r="E2650" s="3">
        <v>3</v>
      </c>
      <c r="F2650" s="3">
        <v>1</v>
      </c>
      <c r="G2650" s="3">
        <v>0</v>
      </c>
    </row>
    <row r="2651" spans="1:7" x14ac:dyDescent="0.25">
      <c r="A2651" t="s">
        <v>130</v>
      </c>
      <c r="B2651" t="s">
        <v>10</v>
      </c>
      <c r="C2651">
        <v>74</v>
      </c>
      <c r="D2651">
        <v>74</v>
      </c>
      <c r="E2651">
        <v>63</v>
      </c>
      <c r="F2651">
        <v>11</v>
      </c>
      <c r="G2651">
        <v>0</v>
      </c>
    </row>
    <row r="2652" spans="1:7" x14ac:dyDescent="0.25">
      <c r="A2652" s="3" t="s">
        <v>130</v>
      </c>
      <c r="B2652" s="3" t="s">
        <v>10</v>
      </c>
      <c r="C2652" s="3">
        <v>49</v>
      </c>
      <c r="D2652" s="3">
        <v>49</v>
      </c>
      <c r="E2652" s="3">
        <v>41</v>
      </c>
      <c r="F2652" s="3">
        <v>8</v>
      </c>
      <c r="G2652" s="3">
        <v>0</v>
      </c>
    </row>
    <row r="2653" spans="1:7" x14ac:dyDescent="0.25">
      <c r="A2653" t="s">
        <v>130</v>
      </c>
      <c r="B2653" t="s">
        <v>177</v>
      </c>
      <c r="C2653">
        <v>28</v>
      </c>
      <c r="D2653">
        <v>27</v>
      </c>
      <c r="E2653">
        <v>27</v>
      </c>
      <c r="F2653">
        <v>0</v>
      </c>
      <c r="G2653">
        <v>0</v>
      </c>
    </row>
    <row r="2654" spans="1:7" x14ac:dyDescent="0.25">
      <c r="A2654" s="3" t="s">
        <v>130</v>
      </c>
      <c r="B2654" s="3" t="s">
        <v>177</v>
      </c>
      <c r="C2654" s="3">
        <v>4</v>
      </c>
      <c r="D2654" s="3">
        <v>4</v>
      </c>
      <c r="E2654" s="3">
        <v>4</v>
      </c>
      <c r="F2654" s="3">
        <v>0</v>
      </c>
      <c r="G2654" s="3">
        <v>0</v>
      </c>
    </row>
    <row r="2655" spans="1:7" x14ac:dyDescent="0.25">
      <c r="A2655" t="s">
        <v>76</v>
      </c>
      <c r="B2655" t="s">
        <v>2</v>
      </c>
      <c r="C2655">
        <v>3</v>
      </c>
      <c r="D2655">
        <v>2</v>
      </c>
      <c r="E2655">
        <v>2</v>
      </c>
      <c r="F2655">
        <v>0</v>
      </c>
      <c r="G2655">
        <v>0</v>
      </c>
    </row>
    <row r="2656" spans="1:7" x14ac:dyDescent="0.25">
      <c r="A2656" t="s">
        <v>76</v>
      </c>
      <c r="B2656" t="s">
        <v>4</v>
      </c>
      <c r="C2656">
        <v>1</v>
      </c>
      <c r="D2656">
        <v>0</v>
      </c>
      <c r="E2656">
        <v>0</v>
      </c>
      <c r="F2656">
        <v>0</v>
      </c>
      <c r="G2656">
        <v>0</v>
      </c>
    </row>
    <row r="2657" spans="1:7" x14ac:dyDescent="0.25">
      <c r="A2657" t="s">
        <v>76</v>
      </c>
      <c r="B2657" t="s">
        <v>5</v>
      </c>
      <c r="C2657">
        <v>15</v>
      </c>
      <c r="D2657">
        <v>15</v>
      </c>
      <c r="E2657">
        <v>15</v>
      </c>
      <c r="F2657">
        <v>0</v>
      </c>
      <c r="G2657">
        <v>0</v>
      </c>
    </row>
    <row r="2658" spans="1:7" x14ac:dyDescent="0.25">
      <c r="A2658" s="3" t="s">
        <v>76</v>
      </c>
      <c r="B2658" s="3" t="s">
        <v>5</v>
      </c>
      <c r="C2658" s="3">
        <v>26</v>
      </c>
      <c r="D2658" s="3">
        <v>26</v>
      </c>
      <c r="E2658" s="3">
        <v>25</v>
      </c>
      <c r="F2658" s="3">
        <v>1</v>
      </c>
      <c r="G2658" s="3">
        <v>0</v>
      </c>
    </row>
    <row r="2659" spans="1:7" x14ac:dyDescent="0.25">
      <c r="A2659" t="s">
        <v>76</v>
      </c>
      <c r="B2659" t="s">
        <v>185</v>
      </c>
      <c r="C2659">
        <f>65+9</f>
        <v>74</v>
      </c>
      <c r="D2659">
        <f>65+9</f>
        <v>74</v>
      </c>
      <c r="E2659">
        <f>63+10</f>
        <v>73</v>
      </c>
      <c r="F2659">
        <f>11-10+0</f>
        <v>1</v>
      </c>
      <c r="G2659">
        <v>0</v>
      </c>
    </row>
    <row r="2660" spans="1:7" x14ac:dyDescent="0.25">
      <c r="A2660" s="3" t="s">
        <v>76</v>
      </c>
      <c r="B2660" s="3" t="s">
        <v>185</v>
      </c>
      <c r="C2660" s="3">
        <v>45</v>
      </c>
      <c r="D2660" s="3">
        <v>44</v>
      </c>
      <c r="E2660" s="3">
        <v>43</v>
      </c>
      <c r="F2660" s="3">
        <v>1</v>
      </c>
      <c r="G2660" s="3">
        <v>1</v>
      </c>
    </row>
    <row r="2661" spans="1:7" x14ac:dyDescent="0.25">
      <c r="A2661" t="s">
        <v>76</v>
      </c>
      <c r="B2661" t="s">
        <v>186</v>
      </c>
      <c r="C2661">
        <f>99+11</f>
        <v>110</v>
      </c>
      <c r="D2661">
        <v>107</v>
      </c>
      <c r="E2661">
        <f>80+13</f>
        <v>93</v>
      </c>
      <c r="F2661">
        <f>29-18+3</f>
        <v>14</v>
      </c>
      <c r="G2661">
        <v>0</v>
      </c>
    </row>
    <row r="2662" spans="1:7" x14ac:dyDescent="0.25">
      <c r="A2662" s="3" t="s">
        <v>76</v>
      </c>
      <c r="B2662" s="3" t="s">
        <v>186</v>
      </c>
      <c r="C2662" s="3">
        <v>66</v>
      </c>
      <c r="D2662" s="3">
        <v>64</v>
      </c>
      <c r="E2662" s="3">
        <v>54</v>
      </c>
      <c r="F2662" s="3">
        <v>10</v>
      </c>
      <c r="G2662" s="3">
        <v>0</v>
      </c>
    </row>
    <row r="2663" spans="1:7" x14ac:dyDescent="0.25">
      <c r="A2663" t="s">
        <v>76</v>
      </c>
      <c r="B2663" t="s">
        <v>187</v>
      </c>
      <c r="C2663">
        <v>43</v>
      </c>
      <c r="D2663">
        <v>43</v>
      </c>
      <c r="E2663">
        <f>30+13</f>
        <v>43</v>
      </c>
      <c r="F2663">
        <v>0</v>
      </c>
      <c r="G2663">
        <v>0</v>
      </c>
    </row>
    <row r="2664" spans="1:7" x14ac:dyDescent="0.25">
      <c r="A2664" s="3" t="s">
        <v>76</v>
      </c>
      <c r="B2664" s="3" t="s">
        <v>187</v>
      </c>
      <c r="C2664" s="3">
        <v>14</v>
      </c>
      <c r="D2664" s="3">
        <v>12</v>
      </c>
      <c r="E2664" s="3">
        <v>12</v>
      </c>
      <c r="F2664" s="3">
        <v>0</v>
      </c>
      <c r="G2664" s="3">
        <v>0</v>
      </c>
    </row>
    <row r="2665" spans="1:7" x14ac:dyDescent="0.25">
      <c r="A2665" t="s">
        <v>76</v>
      </c>
      <c r="B2665" t="s">
        <v>6</v>
      </c>
      <c r="C2665">
        <v>32</v>
      </c>
      <c r="D2665">
        <v>32</v>
      </c>
      <c r="E2665">
        <v>32</v>
      </c>
      <c r="F2665">
        <v>0</v>
      </c>
      <c r="G2665">
        <v>0</v>
      </c>
    </row>
    <row r="2666" spans="1:7" x14ac:dyDescent="0.25">
      <c r="A2666" s="3" t="s">
        <v>76</v>
      </c>
      <c r="B2666" s="3" t="s">
        <v>6</v>
      </c>
      <c r="C2666" s="3">
        <v>24</v>
      </c>
      <c r="D2666" s="3">
        <v>24</v>
      </c>
      <c r="E2666" s="3">
        <v>24</v>
      </c>
      <c r="F2666" s="3">
        <v>0</v>
      </c>
      <c r="G2666" s="3">
        <v>0</v>
      </c>
    </row>
    <row r="2667" spans="1:7" x14ac:dyDescent="0.25">
      <c r="A2667" t="s">
        <v>76</v>
      </c>
      <c r="B2667" t="s">
        <v>7</v>
      </c>
      <c r="C2667">
        <v>36</v>
      </c>
      <c r="D2667">
        <v>27</v>
      </c>
      <c r="E2667">
        <v>26</v>
      </c>
      <c r="F2667">
        <v>1</v>
      </c>
      <c r="G2667">
        <v>0</v>
      </c>
    </row>
    <row r="2668" spans="1:7" x14ac:dyDescent="0.25">
      <c r="A2668" s="3" t="s">
        <v>76</v>
      </c>
      <c r="B2668" s="3" t="s">
        <v>7</v>
      </c>
      <c r="C2668" s="3">
        <v>5</v>
      </c>
      <c r="D2668" s="3">
        <v>5</v>
      </c>
      <c r="E2668" s="3">
        <v>4</v>
      </c>
      <c r="F2668" s="3">
        <v>1</v>
      </c>
      <c r="G2668" s="3">
        <v>0</v>
      </c>
    </row>
    <row r="2669" spans="1:7" x14ac:dyDescent="0.25">
      <c r="A2669" t="s">
        <v>76</v>
      </c>
      <c r="B2669" t="s">
        <v>8</v>
      </c>
      <c r="C2669">
        <v>26</v>
      </c>
      <c r="D2669">
        <v>26</v>
      </c>
      <c r="E2669">
        <v>25</v>
      </c>
      <c r="F2669">
        <v>1</v>
      </c>
      <c r="G2669">
        <v>0</v>
      </c>
    </row>
    <row r="2670" spans="1:7" x14ac:dyDescent="0.25">
      <c r="A2670" s="3" t="s">
        <v>76</v>
      </c>
      <c r="B2670" s="3" t="s">
        <v>8</v>
      </c>
      <c r="C2670" s="3">
        <v>19</v>
      </c>
      <c r="D2670" s="3">
        <v>19</v>
      </c>
      <c r="E2670" s="3">
        <v>16</v>
      </c>
      <c r="F2670" s="3">
        <v>3</v>
      </c>
      <c r="G2670" s="3">
        <v>0</v>
      </c>
    </row>
    <row r="2671" spans="1:7" x14ac:dyDescent="0.25">
      <c r="A2671" t="s">
        <v>76</v>
      </c>
      <c r="B2671" t="s">
        <v>9</v>
      </c>
      <c r="C2671">
        <v>8</v>
      </c>
      <c r="D2671">
        <v>8</v>
      </c>
      <c r="E2671">
        <v>8</v>
      </c>
      <c r="F2671">
        <v>0</v>
      </c>
      <c r="G2671">
        <v>0</v>
      </c>
    </row>
    <row r="2672" spans="1:7" x14ac:dyDescent="0.25">
      <c r="A2672" s="3" t="s">
        <v>76</v>
      </c>
      <c r="B2672" s="3" t="s">
        <v>9</v>
      </c>
      <c r="C2672" s="3">
        <v>4</v>
      </c>
      <c r="D2672" s="3">
        <v>4</v>
      </c>
      <c r="E2672" s="3">
        <v>4</v>
      </c>
      <c r="F2672" s="3">
        <v>0</v>
      </c>
      <c r="G2672" s="3">
        <v>0</v>
      </c>
    </row>
    <row r="2673" spans="1:7" x14ac:dyDescent="0.25">
      <c r="A2673" t="s">
        <v>76</v>
      </c>
      <c r="B2673" t="s">
        <v>10</v>
      </c>
      <c r="C2673">
        <v>52</v>
      </c>
      <c r="D2673">
        <v>52</v>
      </c>
      <c r="E2673">
        <v>52</v>
      </c>
      <c r="F2673">
        <v>0</v>
      </c>
      <c r="G2673">
        <v>0</v>
      </c>
    </row>
    <row r="2674" spans="1:7" x14ac:dyDescent="0.25">
      <c r="A2674" s="3" t="s">
        <v>76</v>
      </c>
      <c r="B2674" s="3" t="s">
        <v>10</v>
      </c>
      <c r="C2674" s="3">
        <v>45</v>
      </c>
      <c r="D2674" s="3">
        <v>45</v>
      </c>
      <c r="E2674" s="3">
        <v>40</v>
      </c>
      <c r="F2674" s="3">
        <v>5</v>
      </c>
      <c r="G2674" s="3">
        <v>0</v>
      </c>
    </row>
    <row r="2675" spans="1:7" x14ac:dyDescent="0.25">
      <c r="A2675" t="s">
        <v>76</v>
      </c>
      <c r="B2675" t="s">
        <v>177</v>
      </c>
      <c r="C2675">
        <v>8</v>
      </c>
      <c r="D2675">
        <v>8</v>
      </c>
      <c r="E2675">
        <v>8</v>
      </c>
      <c r="F2675">
        <v>0</v>
      </c>
      <c r="G2675">
        <v>0</v>
      </c>
    </row>
    <row r="2676" spans="1:7" x14ac:dyDescent="0.25">
      <c r="A2676" s="3" t="s">
        <v>76</v>
      </c>
      <c r="B2676" s="3" t="s">
        <v>177</v>
      </c>
      <c r="C2676" s="3">
        <v>25</v>
      </c>
      <c r="D2676" s="3">
        <v>19</v>
      </c>
      <c r="E2676" s="3">
        <v>19</v>
      </c>
      <c r="F2676" s="3">
        <v>0</v>
      </c>
      <c r="G2676" s="3">
        <v>0</v>
      </c>
    </row>
    <row r="2677" spans="1:7" x14ac:dyDescent="0.25">
      <c r="A2677" t="s">
        <v>150</v>
      </c>
      <c r="B2677" t="s">
        <v>185</v>
      </c>
      <c r="C2677">
        <f>4+2</f>
        <v>6</v>
      </c>
      <c r="D2677">
        <f>3+2</f>
        <v>5</v>
      </c>
      <c r="E2677">
        <f>2+2</f>
        <v>4</v>
      </c>
      <c r="F2677">
        <v>1</v>
      </c>
      <c r="G2677">
        <v>0</v>
      </c>
    </row>
    <row r="2678" spans="1:7" x14ac:dyDescent="0.25">
      <c r="A2678" t="s">
        <v>150</v>
      </c>
      <c r="B2678" t="s">
        <v>186</v>
      </c>
      <c r="C2678">
        <v>16</v>
      </c>
      <c r="D2678">
        <v>16</v>
      </c>
      <c r="E2678">
        <f>10+1</f>
        <v>11</v>
      </c>
      <c r="F2678">
        <f>6-5+4</f>
        <v>5</v>
      </c>
      <c r="G2678">
        <v>0</v>
      </c>
    </row>
    <row r="2679" spans="1:7" x14ac:dyDescent="0.25">
      <c r="A2679" s="3" t="s">
        <v>150</v>
      </c>
      <c r="B2679" s="3" t="s">
        <v>186</v>
      </c>
      <c r="C2679" s="3">
        <v>3</v>
      </c>
      <c r="D2679" s="3">
        <v>2</v>
      </c>
      <c r="E2679" s="3">
        <v>1</v>
      </c>
      <c r="F2679" s="3">
        <v>1</v>
      </c>
      <c r="G2679" s="3">
        <v>0</v>
      </c>
    </row>
    <row r="2680" spans="1:7" x14ac:dyDescent="0.25">
      <c r="A2680" t="s">
        <v>150</v>
      </c>
      <c r="B2680" t="s">
        <v>187</v>
      </c>
      <c r="C2680">
        <v>4</v>
      </c>
      <c r="D2680">
        <v>3</v>
      </c>
      <c r="E2680">
        <v>3</v>
      </c>
      <c r="F2680">
        <v>0</v>
      </c>
      <c r="G2680">
        <v>1</v>
      </c>
    </row>
    <row r="2681" spans="1:7" x14ac:dyDescent="0.25">
      <c r="A2681" s="3" t="s">
        <v>150</v>
      </c>
      <c r="B2681" s="3" t="s">
        <v>187</v>
      </c>
      <c r="C2681" s="3">
        <v>2</v>
      </c>
      <c r="D2681" s="3">
        <v>2</v>
      </c>
      <c r="E2681" s="3">
        <v>2</v>
      </c>
      <c r="F2681" s="3">
        <v>0</v>
      </c>
      <c r="G2681" s="3">
        <v>0</v>
      </c>
    </row>
    <row r="2682" spans="1:7" x14ac:dyDescent="0.25">
      <c r="A2682" t="s">
        <v>150</v>
      </c>
      <c r="B2682" t="s">
        <v>6</v>
      </c>
      <c r="C2682">
        <v>3</v>
      </c>
      <c r="D2682">
        <v>3</v>
      </c>
      <c r="E2682">
        <v>3</v>
      </c>
      <c r="F2682">
        <v>0</v>
      </c>
      <c r="G2682">
        <v>0</v>
      </c>
    </row>
    <row r="2683" spans="1:7" x14ac:dyDescent="0.25">
      <c r="A2683" t="s">
        <v>150</v>
      </c>
      <c r="B2683" t="s">
        <v>8</v>
      </c>
      <c r="C2683">
        <v>1</v>
      </c>
      <c r="D2683">
        <v>1</v>
      </c>
      <c r="E2683">
        <v>1</v>
      </c>
      <c r="F2683">
        <v>0</v>
      </c>
      <c r="G2683">
        <v>0</v>
      </c>
    </row>
    <row r="2684" spans="1:7" x14ac:dyDescent="0.25">
      <c r="A2684" s="3" t="s">
        <v>150</v>
      </c>
      <c r="B2684" s="3" t="s">
        <v>8</v>
      </c>
      <c r="C2684" s="3">
        <v>1</v>
      </c>
      <c r="D2684" s="3">
        <v>1</v>
      </c>
      <c r="E2684" s="3">
        <v>1</v>
      </c>
      <c r="F2684" s="3">
        <v>0</v>
      </c>
      <c r="G2684" s="3">
        <v>0</v>
      </c>
    </row>
    <row r="2685" spans="1:7" x14ac:dyDescent="0.25">
      <c r="A2685" t="s">
        <v>150</v>
      </c>
      <c r="B2685" t="s">
        <v>9</v>
      </c>
      <c r="C2685">
        <v>1</v>
      </c>
      <c r="D2685">
        <v>1</v>
      </c>
      <c r="E2685">
        <v>1</v>
      </c>
      <c r="F2685">
        <v>0</v>
      </c>
      <c r="G2685">
        <v>0</v>
      </c>
    </row>
    <row r="2686" spans="1:7" x14ac:dyDescent="0.25">
      <c r="A2686" t="s">
        <v>150</v>
      </c>
      <c r="B2686" t="s">
        <v>10</v>
      </c>
      <c r="C2686">
        <v>13</v>
      </c>
      <c r="D2686">
        <v>13</v>
      </c>
      <c r="E2686">
        <v>13</v>
      </c>
      <c r="F2686">
        <v>0</v>
      </c>
      <c r="G2686">
        <v>0</v>
      </c>
    </row>
    <row r="2687" spans="1:7" x14ac:dyDescent="0.25">
      <c r="A2687" t="s">
        <v>137</v>
      </c>
      <c r="B2687" t="s">
        <v>2</v>
      </c>
      <c r="C2687">
        <v>17</v>
      </c>
      <c r="D2687">
        <v>17</v>
      </c>
      <c r="E2687">
        <v>17</v>
      </c>
      <c r="F2687">
        <v>0</v>
      </c>
      <c r="G2687">
        <v>0</v>
      </c>
    </row>
    <row r="2688" spans="1:7" x14ac:dyDescent="0.25">
      <c r="A2688" s="3" t="s">
        <v>137</v>
      </c>
      <c r="B2688" s="3" t="s">
        <v>2</v>
      </c>
      <c r="C2688" s="3">
        <v>11</v>
      </c>
      <c r="D2688" s="3">
        <v>11</v>
      </c>
      <c r="E2688" s="3">
        <v>7</v>
      </c>
      <c r="F2688" s="3">
        <v>4</v>
      </c>
      <c r="G2688" s="3">
        <v>0</v>
      </c>
    </row>
    <row r="2689" spans="1:7" x14ac:dyDescent="0.25">
      <c r="A2689" t="s">
        <v>137</v>
      </c>
      <c r="B2689" t="s">
        <v>4</v>
      </c>
      <c r="C2689">
        <v>2</v>
      </c>
      <c r="D2689">
        <v>0</v>
      </c>
      <c r="E2689">
        <v>0</v>
      </c>
      <c r="F2689">
        <v>0</v>
      </c>
      <c r="G2689">
        <v>0</v>
      </c>
    </row>
    <row r="2690" spans="1:7" x14ac:dyDescent="0.25">
      <c r="A2690" s="3" t="s">
        <v>137</v>
      </c>
      <c r="B2690" s="3" t="s">
        <v>4</v>
      </c>
      <c r="C2690" s="3">
        <v>1</v>
      </c>
      <c r="D2690" s="3">
        <v>0</v>
      </c>
      <c r="E2690" s="3">
        <v>0</v>
      </c>
      <c r="F2690" s="3">
        <v>0</v>
      </c>
      <c r="G2690" s="3">
        <v>0</v>
      </c>
    </row>
    <row r="2691" spans="1:7" x14ac:dyDescent="0.25">
      <c r="A2691" t="s">
        <v>137</v>
      </c>
      <c r="B2691" t="s">
        <v>5</v>
      </c>
      <c r="C2691">
        <v>39</v>
      </c>
      <c r="D2691">
        <v>33</v>
      </c>
      <c r="E2691">
        <f>23+8</f>
        <v>31</v>
      </c>
      <c r="F2691">
        <f>10-9+1</f>
        <v>2</v>
      </c>
      <c r="G2691">
        <v>0</v>
      </c>
    </row>
    <row r="2692" spans="1:7" x14ac:dyDescent="0.25">
      <c r="A2692" s="3" t="s">
        <v>137</v>
      </c>
      <c r="B2692" s="3" t="s">
        <v>5</v>
      </c>
      <c r="C2692" s="3">
        <v>30</v>
      </c>
      <c r="D2692" s="3">
        <v>30</v>
      </c>
      <c r="E2692" s="3">
        <v>25</v>
      </c>
      <c r="F2692" s="3">
        <v>5</v>
      </c>
      <c r="G2692" s="3">
        <v>0</v>
      </c>
    </row>
    <row r="2693" spans="1:7" x14ac:dyDescent="0.25">
      <c r="A2693" t="s">
        <v>137</v>
      </c>
      <c r="B2693" t="s">
        <v>185</v>
      </c>
      <c r="C2693">
        <f>136+32</f>
        <v>168</v>
      </c>
      <c r="D2693">
        <v>151</v>
      </c>
      <c r="E2693">
        <f>95+35</f>
        <v>130</v>
      </c>
      <c r="F2693">
        <f>58-41+4</f>
        <v>21</v>
      </c>
      <c r="G2693">
        <v>5</v>
      </c>
    </row>
    <row r="2694" spans="1:7" x14ac:dyDescent="0.25">
      <c r="A2694" s="3" t="s">
        <v>137</v>
      </c>
      <c r="B2694" s="3" t="s">
        <v>185</v>
      </c>
      <c r="C2694" s="3">
        <v>96</v>
      </c>
      <c r="D2694" s="3">
        <v>87</v>
      </c>
      <c r="E2694" s="3">
        <v>73</v>
      </c>
      <c r="F2694" s="3">
        <v>14</v>
      </c>
      <c r="G2694" s="3">
        <v>0</v>
      </c>
    </row>
    <row r="2695" spans="1:7" x14ac:dyDescent="0.25">
      <c r="A2695" t="s">
        <v>137</v>
      </c>
      <c r="B2695" t="s">
        <v>186</v>
      </c>
      <c r="C2695">
        <f>183+17</f>
        <v>200</v>
      </c>
      <c r="D2695">
        <v>168</v>
      </c>
      <c r="E2695">
        <f>105+36</f>
        <v>141</v>
      </c>
      <c r="F2695">
        <f>71-53+9</f>
        <v>27</v>
      </c>
      <c r="G2695">
        <v>6</v>
      </c>
    </row>
    <row r="2696" spans="1:7" x14ac:dyDescent="0.25">
      <c r="A2696" s="3" t="s">
        <v>137</v>
      </c>
      <c r="B2696" s="3" t="s">
        <v>186</v>
      </c>
      <c r="C2696" s="3">
        <v>129</v>
      </c>
      <c r="D2696" s="3">
        <v>107</v>
      </c>
      <c r="E2696" s="3">
        <v>96</v>
      </c>
      <c r="F2696" s="3">
        <v>11</v>
      </c>
      <c r="G2696" s="3">
        <v>7</v>
      </c>
    </row>
    <row r="2697" spans="1:7" x14ac:dyDescent="0.25">
      <c r="A2697" t="s">
        <v>137</v>
      </c>
      <c r="B2697" t="s">
        <v>189</v>
      </c>
      <c r="C2697">
        <v>2</v>
      </c>
      <c r="D2697">
        <v>2</v>
      </c>
      <c r="E2697">
        <v>1</v>
      </c>
      <c r="F2697">
        <v>1</v>
      </c>
      <c r="G2697">
        <v>0</v>
      </c>
    </row>
    <row r="2698" spans="1:7" x14ac:dyDescent="0.25">
      <c r="A2698" s="3" t="s">
        <v>137</v>
      </c>
      <c r="B2698" s="3" t="s">
        <v>189</v>
      </c>
      <c r="C2698" s="3">
        <v>1</v>
      </c>
      <c r="D2698" s="3">
        <v>1</v>
      </c>
      <c r="E2698" s="3">
        <v>1</v>
      </c>
      <c r="F2698" s="3">
        <v>0</v>
      </c>
      <c r="G2698" s="3">
        <v>0</v>
      </c>
    </row>
    <row r="2699" spans="1:7" x14ac:dyDescent="0.25">
      <c r="A2699" t="s">
        <v>137</v>
      </c>
      <c r="B2699" t="s">
        <v>187</v>
      </c>
      <c r="C2699">
        <f>61+2</f>
        <v>63</v>
      </c>
      <c r="D2699">
        <f>50+1</f>
        <v>51</v>
      </c>
      <c r="E2699">
        <f>39+1</f>
        <v>40</v>
      </c>
      <c r="F2699">
        <v>11</v>
      </c>
      <c r="G2699">
        <v>3</v>
      </c>
    </row>
    <row r="2700" spans="1:7" x14ac:dyDescent="0.25">
      <c r="A2700" s="3" t="s">
        <v>137</v>
      </c>
      <c r="B2700" s="3" t="s">
        <v>187</v>
      </c>
      <c r="C2700" s="3">
        <v>47</v>
      </c>
      <c r="D2700" s="3">
        <v>44</v>
      </c>
      <c r="E2700" s="3">
        <v>44</v>
      </c>
      <c r="F2700" s="3">
        <v>0</v>
      </c>
      <c r="G2700" s="3">
        <v>1</v>
      </c>
    </row>
    <row r="2701" spans="1:7" x14ac:dyDescent="0.25">
      <c r="A2701" t="s">
        <v>137</v>
      </c>
      <c r="B2701" t="s">
        <v>6</v>
      </c>
      <c r="C2701">
        <v>157</v>
      </c>
      <c r="D2701">
        <v>155</v>
      </c>
      <c r="E2701">
        <v>153</v>
      </c>
      <c r="F2701">
        <v>2</v>
      </c>
      <c r="G2701">
        <v>0</v>
      </c>
    </row>
    <row r="2702" spans="1:7" x14ac:dyDescent="0.25">
      <c r="A2702" s="3" t="s">
        <v>137</v>
      </c>
      <c r="B2702" s="3" t="s">
        <v>6</v>
      </c>
      <c r="C2702" s="3">
        <v>73</v>
      </c>
      <c r="D2702" s="3">
        <v>71</v>
      </c>
      <c r="E2702" s="3">
        <v>71</v>
      </c>
      <c r="F2702" s="3">
        <v>0</v>
      </c>
      <c r="G2702" s="3">
        <v>0</v>
      </c>
    </row>
    <row r="2703" spans="1:7" x14ac:dyDescent="0.25">
      <c r="A2703" t="s">
        <v>137</v>
      </c>
      <c r="B2703" t="s">
        <v>7</v>
      </c>
      <c r="C2703">
        <v>42</v>
      </c>
      <c r="D2703">
        <v>14</v>
      </c>
      <c r="E2703">
        <v>6</v>
      </c>
      <c r="F2703">
        <v>8</v>
      </c>
      <c r="G2703">
        <v>0</v>
      </c>
    </row>
    <row r="2704" spans="1:7" x14ac:dyDescent="0.25">
      <c r="A2704" s="3" t="s">
        <v>137</v>
      </c>
      <c r="B2704" s="3" t="s">
        <v>7</v>
      </c>
      <c r="C2704" s="3">
        <v>1</v>
      </c>
      <c r="D2704" s="3">
        <v>1</v>
      </c>
      <c r="E2704" s="3">
        <v>1</v>
      </c>
      <c r="F2704" s="3">
        <v>0</v>
      </c>
      <c r="G2704" s="3">
        <v>0</v>
      </c>
    </row>
    <row r="2705" spans="1:7" x14ac:dyDescent="0.25">
      <c r="A2705" t="s">
        <v>137</v>
      </c>
      <c r="B2705" t="s">
        <v>8</v>
      </c>
      <c r="C2705">
        <v>81</v>
      </c>
      <c r="D2705">
        <v>74</v>
      </c>
      <c r="E2705">
        <v>66</v>
      </c>
      <c r="F2705">
        <v>8</v>
      </c>
      <c r="G2705">
        <v>0</v>
      </c>
    </row>
    <row r="2706" spans="1:7" x14ac:dyDescent="0.25">
      <c r="A2706" s="3" t="s">
        <v>137</v>
      </c>
      <c r="B2706" s="3" t="s">
        <v>8</v>
      </c>
      <c r="C2706" s="3">
        <v>43</v>
      </c>
      <c r="D2706" s="3">
        <v>40</v>
      </c>
      <c r="E2706" s="3">
        <v>27</v>
      </c>
      <c r="F2706" s="3">
        <v>13</v>
      </c>
      <c r="G2706" s="3">
        <v>0</v>
      </c>
    </row>
    <row r="2707" spans="1:7" x14ac:dyDescent="0.25">
      <c r="A2707" t="s">
        <v>137</v>
      </c>
      <c r="B2707" t="s">
        <v>9</v>
      </c>
      <c r="C2707">
        <v>32</v>
      </c>
      <c r="D2707">
        <v>32</v>
      </c>
      <c r="E2707">
        <v>32</v>
      </c>
      <c r="F2707">
        <v>0</v>
      </c>
      <c r="G2707">
        <v>0</v>
      </c>
    </row>
    <row r="2708" spans="1:7" x14ac:dyDescent="0.25">
      <c r="A2708" s="3" t="s">
        <v>137</v>
      </c>
      <c r="B2708" s="3" t="s">
        <v>9</v>
      </c>
      <c r="C2708" s="3">
        <v>16</v>
      </c>
      <c r="D2708" s="3">
        <v>16</v>
      </c>
      <c r="E2708" s="3">
        <v>12</v>
      </c>
      <c r="F2708" s="3">
        <v>4</v>
      </c>
      <c r="G2708" s="3">
        <v>0</v>
      </c>
    </row>
    <row r="2709" spans="1:7" x14ac:dyDescent="0.25">
      <c r="A2709" t="s">
        <v>137</v>
      </c>
      <c r="B2709" t="s">
        <v>10</v>
      </c>
      <c r="C2709">
        <v>175</v>
      </c>
      <c r="D2709">
        <v>172</v>
      </c>
      <c r="E2709">
        <v>142</v>
      </c>
      <c r="F2709">
        <v>30</v>
      </c>
      <c r="G2709">
        <v>2</v>
      </c>
    </row>
    <row r="2710" spans="1:7" x14ac:dyDescent="0.25">
      <c r="A2710" s="3" t="s">
        <v>137</v>
      </c>
      <c r="B2710" s="3" t="s">
        <v>10</v>
      </c>
      <c r="C2710" s="3">
        <v>126</v>
      </c>
      <c r="D2710" s="3">
        <v>125</v>
      </c>
      <c r="E2710" s="3">
        <v>95</v>
      </c>
      <c r="F2710" s="3">
        <v>30</v>
      </c>
      <c r="G2710" s="3">
        <v>1</v>
      </c>
    </row>
    <row r="2711" spans="1:7" x14ac:dyDescent="0.25">
      <c r="A2711" t="s">
        <v>137</v>
      </c>
      <c r="B2711" t="s">
        <v>177</v>
      </c>
      <c r="C2711">
        <v>30</v>
      </c>
      <c r="D2711">
        <v>25</v>
      </c>
      <c r="E2711">
        <v>22</v>
      </c>
      <c r="F2711">
        <v>3</v>
      </c>
      <c r="G2711">
        <v>0</v>
      </c>
    </row>
    <row r="2712" spans="1:7" x14ac:dyDescent="0.25">
      <c r="A2712" s="3" t="s">
        <v>137</v>
      </c>
      <c r="B2712" s="3" t="s">
        <v>177</v>
      </c>
      <c r="C2712" s="3">
        <v>27</v>
      </c>
      <c r="D2712" s="3">
        <v>24</v>
      </c>
      <c r="E2712" s="3">
        <v>24</v>
      </c>
      <c r="F2712" s="3">
        <v>0</v>
      </c>
      <c r="G2712" s="3">
        <v>0</v>
      </c>
    </row>
    <row r="2713" spans="1:7" x14ac:dyDescent="0.25">
      <c r="A2713" s="3" t="s">
        <v>180</v>
      </c>
      <c r="B2713" s="3" t="s">
        <v>2</v>
      </c>
      <c r="C2713" s="3">
        <v>2</v>
      </c>
      <c r="D2713" s="3">
        <v>1</v>
      </c>
      <c r="E2713" s="3">
        <v>0</v>
      </c>
      <c r="F2713" s="3">
        <v>1</v>
      </c>
      <c r="G2713" s="3">
        <v>0</v>
      </c>
    </row>
    <row r="2714" spans="1:7" x14ac:dyDescent="0.25">
      <c r="A2714" s="3" t="s">
        <v>180</v>
      </c>
      <c r="B2714" s="3" t="s">
        <v>188</v>
      </c>
      <c r="C2714" s="3">
        <v>1</v>
      </c>
      <c r="D2714" s="3">
        <v>0</v>
      </c>
      <c r="E2714" s="3">
        <v>0</v>
      </c>
      <c r="F2714" s="3">
        <v>0</v>
      </c>
      <c r="G2714" s="3">
        <v>0</v>
      </c>
    </row>
    <row r="2715" spans="1:7" x14ac:dyDescent="0.25">
      <c r="A2715" t="s">
        <v>180</v>
      </c>
      <c r="B2715" t="s">
        <v>5</v>
      </c>
      <c r="C2715">
        <v>7</v>
      </c>
      <c r="D2715">
        <v>7</v>
      </c>
      <c r="E2715">
        <v>5</v>
      </c>
      <c r="F2715">
        <v>2</v>
      </c>
      <c r="G2715">
        <v>0</v>
      </c>
    </row>
    <row r="2716" spans="1:7" x14ac:dyDescent="0.25">
      <c r="A2716" s="3" t="s">
        <v>180</v>
      </c>
      <c r="B2716" s="3" t="s">
        <v>5</v>
      </c>
      <c r="C2716" s="3">
        <v>5</v>
      </c>
      <c r="D2716" s="3">
        <v>5</v>
      </c>
      <c r="E2716" s="3">
        <f>1+1</f>
        <v>2</v>
      </c>
      <c r="F2716" s="3">
        <f>4-2+1</f>
        <v>3</v>
      </c>
      <c r="G2716" s="3">
        <v>0</v>
      </c>
    </row>
    <row r="2717" spans="1:7" x14ac:dyDescent="0.25">
      <c r="A2717" t="s">
        <v>180</v>
      </c>
      <c r="B2717" t="s">
        <v>185</v>
      </c>
      <c r="C2717">
        <v>4</v>
      </c>
      <c r="D2717">
        <v>4</v>
      </c>
      <c r="E2717">
        <v>4</v>
      </c>
      <c r="F2717">
        <v>0</v>
      </c>
      <c r="G2717">
        <v>0</v>
      </c>
    </row>
    <row r="2718" spans="1:7" x14ac:dyDescent="0.25">
      <c r="A2718" s="3" t="s">
        <v>180</v>
      </c>
      <c r="B2718" s="3" t="s">
        <v>185</v>
      </c>
      <c r="C2718" s="3">
        <v>1</v>
      </c>
      <c r="D2718" s="3">
        <v>1</v>
      </c>
      <c r="E2718" s="3">
        <v>1</v>
      </c>
      <c r="F2718" s="3">
        <v>0</v>
      </c>
      <c r="G2718" s="3">
        <v>0</v>
      </c>
    </row>
    <row r="2719" spans="1:7" x14ac:dyDescent="0.25">
      <c r="A2719" t="s">
        <v>180</v>
      </c>
      <c r="B2719" t="s">
        <v>186</v>
      </c>
      <c r="C2719">
        <v>8</v>
      </c>
      <c r="D2719">
        <v>8</v>
      </c>
      <c r="E2719">
        <v>6</v>
      </c>
      <c r="F2719">
        <v>2</v>
      </c>
      <c r="G2719">
        <v>0</v>
      </c>
    </row>
    <row r="2720" spans="1:7" x14ac:dyDescent="0.25">
      <c r="A2720" s="3" t="s">
        <v>180</v>
      </c>
      <c r="B2720" s="3" t="s">
        <v>186</v>
      </c>
      <c r="C2720" s="3">
        <v>6</v>
      </c>
      <c r="D2720" s="3">
        <v>6</v>
      </c>
      <c r="E2720" s="3">
        <f>4+1</f>
        <v>5</v>
      </c>
      <c r="F2720" s="3">
        <f>2-1+0</f>
        <v>1</v>
      </c>
      <c r="G2720" s="3">
        <v>0</v>
      </c>
    </row>
    <row r="2721" spans="1:7" x14ac:dyDescent="0.25">
      <c r="A2721" t="s">
        <v>180</v>
      </c>
      <c r="B2721" t="s">
        <v>187</v>
      </c>
      <c r="C2721">
        <f>20+1</f>
        <v>21</v>
      </c>
      <c r="D2721">
        <f>20+1</f>
        <v>21</v>
      </c>
      <c r="E2721">
        <f>15+2</f>
        <v>17</v>
      </c>
      <c r="F2721">
        <f>6-2+0</f>
        <v>4</v>
      </c>
      <c r="G2721">
        <v>0</v>
      </c>
    </row>
    <row r="2722" spans="1:7" x14ac:dyDescent="0.25">
      <c r="A2722" s="3" t="s">
        <v>180</v>
      </c>
      <c r="B2722" s="3" t="s">
        <v>187</v>
      </c>
      <c r="C2722" s="3">
        <v>14</v>
      </c>
      <c r="D2722" s="3">
        <v>14</v>
      </c>
      <c r="E2722" s="3">
        <v>13</v>
      </c>
      <c r="F2722" s="3">
        <v>1</v>
      </c>
      <c r="G2722" s="3">
        <v>0</v>
      </c>
    </row>
    <row r="2723" spans="1:7" x14ac:dyDescent="0.25">
      <c r="A2723" t="s">
        <v>180</v>
      </c>
      <c r="B2723" t="s">
        <v>8</v>
      </c>
      <c r="C2723">
        <v>8</v>
      </c>
      <c r="D2723">
        <v>8</v>
      </c>
      <c r="E2723">
        <v>6</v>
      </c>
      <c r="F2723">
        <v>2</v>
      </c>
      <c r="G2723">
        <v>0</v>
      </c>
    </row>
    <row r="2724" spans="1:7" x14ac:dyDescent="0.25">
      <c r="A2724" s="3" t="s">
        <v>180</v>
      </c>
      <c r="B2724" s="3" t="s">
        <v>8</v>
      </c>
      <c r="C2724" s="3">
        <v>1</v>
      </c>
      <c r="D2724" s="3">
        <v>1</v>
      </c>
      <c r="E2724" s="3">
        <v>1</v>
      </c>
      <c r="F2724" s="3">
        <v>0</v>
      </c>
      <c r="G2724" s="3">
        <v>0</v>
      </c>
    </row>
    <row r="2725" spans="1:7" x14ac:dyDescent="0.25">
      <c r="A2725" t="s">
        <v>180</v>
      </c>
      <c r="B2725" t="s">
        <v>9</v>
      </c>
      <c r="C2725">
        <v>5</v>
      </c>
      <c r="D2725">
        <v>5</v>
      </c>
      <c r="E2725">
        <v>5</v>
      </c>
      <c r="F2725">
        <v>0</v>
      </c>
      <c r="G2725">
        <v>0</v>
      </c>
    </row>
    <row r="2726" spans="1:7" x14ac:dyDescent="0.25">
      <c r="A2726" s="3" t="s">
        <v>180</v>
      </c>
      <c r="B2726" s="3" t="s">
        <v>9</v>
      </c>
      <c r="C2726" s="3">
        <v>3</v>
      </c>
      <c r="D2726" s="3">
        <v>3</v>
      </c>
      <c r="E2726" s="3">
        <v>2</v>
      </c>
      <c r="F2726" s="3">
        <v>1</v>
      </c>
      <c r="G2726" s="3">
        <v>0</v>
      </c>
    </row>
    <row r="2727" spans="1:7" x14ac:dyDescent="0.25">
      <c r="A2727" t="s">
        <v>180</v>
      </c>
      <c r="B2727" t="s">
        <v>10</v>
      </c>
      <c r="C2727">
        <v>29</v>
      </c>
      <c r="D2727">
        <v>29</v>
      </c>
      <c r="E2727">
        <v>24</v>
      </c>
      <c r="F2727">
        <v>5</v>
      </c>
      <c r="G2727">
        <v>0</v>
      </c>
    </row>
    <row r="2728" spans="1:7" x14ac:dyDescent="0.25">
      <c r="A2728" s="3" t="s">
        <v>180</v>
      </c>
      <c r="B2728" s="3" t="s">
        <v>10</v>
      </c>
      <c r="C2728" s="3">
        <v>12</v>
      </c>
      <c r="D2728" s="3">
        <v>12</v>
      </c>
      <c r="E2728" s="3">
        <v>12</v>
      </c>
      <c r="F2728" s="3">
        <v>0</v>
      </c>
      <c r="G2728" s="3">
        <v>0</v>
      </c>
    </row>
    <row r="2729" spans="1:7" x14ac:dyDescent="0.25">
      <c r="A2729" t="s">
        <v>180</v>
      </c>
      <c r="B2729" t="s">
        <v>177</v>
      </c>
      <c r="C2729">
        <v>5</v>
      </c>
      <c r="D2729">
        <v>5</v>
      </c>
      <c r="E2729">
        <v>5</v>
      </c>
      <c r="F2729">
        <v>0</v>
      </c>
      <c r="G2729">
        <v>0</v>
      </c>
    </row>
    <row r="2730" spans="1:7" x14ac:dyDescent="0.25">
      <c r="A2730" s="3" t="s">
        <v>180</v>
      </c>
      <c r="B2730" s="3" t="s">
        <v>177</v>
      </c>
      <c r="C2730" s="3">
        <v>1</v>
      </c>
      <c r="D2730" s="3">
        <v>1</v>
      </c>
      <c r="E2730" s="3">
        <v>1</v>
      </c>
      <c r="F2730" s="3">
        <v>0</v>
      </c>
      <c r="G2730" s="3">
        <v>0</v>
      </c>
    </row>
    <row r="2731" spans="1:7" x14ac:dyDescent="0.25">
      <c r="A2731" t="s">
        <v>70</v>
      </c>
      <c r="B2731" t="s">
        <v>2</v>
      </c>
      <c r="C2731">
        <v>4</v>
      </c>
      <c r="D2731">
        <v>4</v>
      </c>
      <c r="E2731">
        <v>4</v>
      </c>
      <c r="F2731">
        <v>0</v>
      </c>
      <c r="G2731">
        <v>0</v>
      </c>
    </row>
    <row r="2732" spans="1:7" x14ac:dyDescent="0.25">
      <c r="A2732" s="3" t="s">
        <v>70</v>
      </c>
      <c r="B2732" s="3" t="s">
        <v>2</v>
      </c>
      <c r="C2732" s="3">
        <v>5</v>
      </c>
      <c r="D2732" s="3">
        <v>5</v>
      </c>
      <c r="E2732" s="3">
        <v>5</v>
      </c>
      <c r="F2732" s="3">
        <v>0</v>
      </c>
      <c r="G2732" s="3">
        <v>0</v>
      </c>
    </row>
    <row r="2733" spans="1:7" x14ac:dyDescent="0.25">
      <c r="A2733" t="s">
        <v>70</v>
      </c>
      <c r="B2733" t="s">
        <v>5</v>
      </c>
      <c r="C2733">
        <v>49</v>
      </c>
      <c r="D2733">
        <v>49</v>
      </c>
      <c r="E2733">
        <v>44</v>
      </c>
      <c r="F2733">
        <v>5</v>
      </c>
      <c r="G2733">
        <v>0</v>
      </c>
    </row>
    <row r="2734" spans="1:7" x14ac:dyDescent="0.25">
      <c r="A2734" s="3" t="s">
        <v>70</v>
      </c>
      <c r="B2734" s="3" t="s">
        <v>5</v>
      </c>
      <c r="C2734" s="3">
        <v>47</v>
      </c>
      <c r="D2734" s="3">
        <v>46</v>
      </c>
      <c r="E2734" s="3">
        <f>42+3</f>
        <v>45</v>
      </c>
      <c r="F2734" s="3">
        <f>4-3+0</f>
        <v>1</v>
      </c>
      <c r="G2734" s="3">
        <v>0</v>
      </c>
    </row>
    <row r="2735" spans="1:7" x14ac:dyDescent="0.25">
      <c r="A2735" t="s">
        <v>70</v>
      </c>
      <c r="B2735" t="s">
        <v>185</v>
      </c>
      <c r="C2735">
        <f>38+1</f>
        <v>39</v>
      </c>
      <c r="D2735">
        <f>37+1</f>
        <v>38</v>
      </c>
      <c r="E2735">
        <f>27+1</f>
        <v>28</v>
      </c>
      <c r="F2735">
        <f>10-5+5</f>
        <v>10</v>
      </c>
      <c r="G2735">
        <v>0</v>
      </c>
    </row>
    <row r="2736" spans="1:7" x14ac:dyDescent="0.25">
      <c r="A2736" s="3" t="s">
        <v>70</v>
      </c>
      <c r="B2736" s="3" t="s">
        <v>185</v>
      </c>
      <c r="C2736" s="3">
        <v>37</v>
      </c>
      <c r="D2736" s="3">
        <v>36</v>
      </c>
      <c r="E2736" s="3">
        <v>35</v>
      </c>
      <c r="F2736" s="3">
        <v>1</v>
      </c>
      <c r="G2736" s="3">
        <v>1</v>
      </c>
    </row>
    <row r="2737" spans="1:7" x14ac:dyDescent="0.25">
      <c r="A2737" t="s">
        <v>70</v>
      </c>
      <c r="B2737" t="s">
        <v>186</v>
      </c>
      <c r="C2737">
        <f>43+4</f>
        <v>47</v>
      </c>
      <c r="D2737">
        <f>38+4</f>
        <v>42</v>
      </c>
      <c r="E2737">
        <f>31+4</f>
        <v>35</v>
      </c>
      <c r="F2737">
        <f>11-8+4</f>
        <v>7</v>
      </c>
      <c r="G2737">
        <v>0</v>
      </c>
    </row>
    <row r="2738" spans="1:7" x14ac:dyDescent="0.25">
      <c r="A2738" s="3" t="s">
        <v>70</v>
      </c>
      <c r="B2738" s="3" t="s">
        <v>186</v>
      </c>
      <c r="C2738" s="3">
        <v>45</v>
      </c>
      <c r="D2738" s="3">
        <v>43</v>
      </c>
      <c r="E2738" s="3">
        <v>39</v>
      </c>
      <c r="F2738" s="3">
        <v>4</v>
      </c>
      <c r="G2738" s="3">
        <v>0</v>
      </c>
    </row>
    <row r="2739" spans="1:7" x14ac:dyDescent="0.25">
      <c r="A2739" t="s">
        <v>70</v>
      </c>
      <c r="B2739" t="s">
        <v>187</v>
      </c>
      <c r="C2739">
        <v>53</v>
      </c>
      <c r="D2739">
        <v>53</v>
      </c>
      <c r="E2739">
        <f>50+1</f>
        <v>51</v>
      </c>
      <c r="F2739">
        <f>3-1+0</f>
        <v>2</v>
      </c>
      <c r="G2739">
        <v>0</v>
      </c>
    </row>
    <row r="2740" spans="1:7" x14ac:dyDescent="0.25">
      <c r="A2740" s="3" t="s">
        <v>70</v>
      </c>
      <c r="B2740" s="3" t="s">
        <v>187</v>
      </c>
      <c r="C2740" s="3">
        <v>36</v>
      </c>
      <c r="D2740" s="3">
        <v>36</v>
      </c>
      <c r="E2740" s="3">
        <v>36</v>
      </c>
      <c r="F2740" s="3">
        <v>0</v>
      </c>
      <c r="G2740" s="3">
        <v>0</v>
      </c>
    </row>
    <row r="2741" spans="1:7" x14ac:dyDescent="0.25">
      <c r="A2741" t="s">
        <v>70</v>
      </c>
      <c r="B2741" t="s">
        <v>6</v>
      </c>
      <c r="C2741">
        <v>9</v>
      </c>
      <c r="D2741">
        <v>9</v>
      </c>
      <c r="E2741">
        <v>9</v>
      </c>
      <c r="F2741">
        <v>0</v>
      </c>
      <c r="G2741">
        <v>0</v>
      </c>
    </row>
    <row r="2742" spans="1:7" x14ac:dyDescent="0.25">
      <c r="A2742" s="3" t="s">
        <v>70</v>
      </c>
      <c r="B2742" s="3" t="s">
        <v>6</v>
      </c>
      <c r="C2742" s="3">
        <v>5</v>
      </c>
      <c r="D2742" s="3">
        <v>5</v>
      </c>
      <c r="E2742" s="3">
        <v>5</v>
      </c>
      <c r="F2742" s="3">
        <v>0</v>
      </c>
      <c r="G2742" s="3">
        <v>0</v>
      </c>
    </row>
    <row r="2743" spans="1:7" x14ac:dyDescent="0.25">
      <c r="A2743" t="s">
        <v>70</v>
      </c>
      <c r="B2743" t="s">
        <v>7</v>
      </c>
      <c r="C2743">
        <v>14</v>
      </c>
      <c r="D2743">
        <v>13</v>
      </c>
      <c r="E2743">
        <v>13</v>
      </c>
      <c r="F2743">
        <v>0</v>
      </c>
      <c r="G2743">
        <v>0</v>
      </c>
    </row>
    <row r="2744" spans="1:7" x14ac:dyDescent="0.25">
      <c r="A2744" s="3" t="s">
        <v>70</v>
      </c>
      <c r="B2744" s="3" t="s">
        <v>7</v>
      </c>
      <c r="C2744" s="3">
        <v>22</v>
      </c>
      <c r="D2744" s="3">
        <v>22</v>
      </c>
      <c r="E2744" s="3">
        <v>19</v>
      </c>
      <c r="F2744" s="3">
        <v>3</v>
      </c>
      <c r="G2744" s="3">
        <v>0</v>
      </c>
    </row>
    <row r="2745" spans="1:7" x14ac:dyDescent="0.25">
      <c r="A2745" t="s">
        <v>70</v>
      </c>
      <c r="B2745" t="s">
        <v>8</v>
      </c>
      <c r="C2745">
        <v>21</v>
      </c>
      <c r="D2745">
        <v>21</v>
      </c>
      <c r="E2745">
        <v>16</v>
      </c>
      <c r="F2745">
        <v>5</v>
      </c>
      <c r="G2745">
        <v>0</v>
      </c>
    </row>
    <row r="2746" spans="1:7" x14ac:dyDescent="0.25">
      <c r="A2746" s="3" t="s">
        <v>70</v>
      </c>
      <c r="B2746" s="3" t="s">
        <v>8</v>
      </c>
      <c r="C2746" s="3">
        <v>6</v>
      </c>
      <c r="D2746" s="3">
        <v>6</v>
      </c>
      <c r="E2746" s="3">
        <v>6</v>
      </c>
      <c r="F2746" s="3">
        <v>0</v>
      </c>
      <c r="G2746" s="3">
        <v>0</v>
      </c>
    </row>
    <row r="2747" spans="1:7" x14ac:dyDescent="0.25">
      <c r="A2747" t="s">
        <v>70</v>
      </c>
      <c r="B2747" t="s">
        <v>9</v>
      </c>
      <c r="C2747">
        <v>7</v>
      </c>
      <c r="D2747">
        <v>7</v>
      </c>
      <c r="E2747">
        <v>7</v>
      </c>
      <c r="F2747">
        <v>0</v>
      </c>
      <c r="G2747">
        <v>0</v>
      </c>
    </row>
    <row r="2748" spans="1:7" x14ac:dyDescent="0.25">
      <c r="A2748" s="3" t="s">
        <v>70</v>
      </c>
      <c r="B2748" s="3" t="s">
        <v>9</v>
      </c>
      <c r="C2748" s="3">
        <v>1</v>
      </c>
      <c r="D2748" s="3">
        <v>0</v>
      </c>
      <c r="E2748" s="3">
        <v>0</v>
      </c>
      <c r="F2748" s="3">
        <v>0</v>
      </c>
      <c r="G2748" s="3">
        <v>0</v>
      </c>
    </row>
    <row r="2749" spans="1:7" x14ac:dyDescent="0.25">
      <c r="A2749" t="s">
        <v>70</v>
      </c>
      <c r="B2749" t="s">
        <v>10</v>
      </c>
      <c r="C2749">
        <v>52</v>
      </c>
      <c r="D2749">
        <v>52</v>
      </c>
      <c r="E2749">
        <v>49</v>
      </c>
      <c r="F2749">
        <v>3</v>
      </c>
      <c r="G2749">
        <v>0</v>
      </c>
    </row>
    <row r="2750" spans="1:7" x14ac:dyDescent="0.25">
      <c r="A2750" s="3" t="s">
        <v>70</v>
      </c>
      <c r="B2750" s="3" t="s">
        <v>10</v>
      </c>
      <c r="C2750" s="3">
        <v>57</v>
      </c>
      <c r="D2750" s="3">
        <v>57</v>
      </c>
      <c r="E2750" s="3">
        <v>49</v>
      </c>
      <c r="F2750" s="3">
        <v>8</v>
      </c>
      <c r="G2750" s="3">
        <v>0</v>
      </c>
    </row>
    <row r="2751" spans="1:7" x14ac:dyDescent="0.25">
      <c r="A2751" t="s">
        <v>70</v>
      </c>
      <c r="B2751" t="s">
        <v>177</v>
      </c>
      <c r="C2751">
        <v>48</v>
      </c>
      <c r="D2751">
        <v>48</v>
      </c>
      <c r="E2751">
        <v>48</v>
      </c>
      <c r="F2751">
        <v>0</v>
      </c>
      <c r="G2751">
        <v>0</v>
      </c>
    </row>
    <row r="2752" spans="1:7" x14ac:dyDescent="0.25">
      <c r="A2752" s="3" t="s">
        <v>70</v>
      </c>
      <c r="B2752" s="3" t="s">
        <v>177</v>
      </c>
      <c r="C2752" s="3">
        <v>34</v>
      </c>
      <c r="D2752" s="3">
        <v>34</v>
      </c>
      <c r="E2752" s="3">
        <v>34</v>
      </c>
      <c r="F2752" s="3">
        <v>0</v>
      </c>
      <c r="G2752" s="3">
        <v>0</v>
      </c>
    </row>
    <row r="2771" spans="1:7" x14ac:dyDescent="0.25">
      <c r="A2771" s="1" t="s">
        <v>192</v>
      </c>
      <c r="B2771" s="1" t="s">
        <v>0</v>
      </c>
      <c r="C2771" s="1" t="s">
        <v>13</v>
      </c>
      <c r="D2771" s="1" t="s">
        <v>14</v>
      </c>
      <c r="E2771" s="1" t="s">
        <v>15</v>
      </c>
      <c r="F2771" s="1" t="s">
        <v>16</v>
      </c>
      <c r="G2771" s="1" t="s">
        <v>17</v>
      </c>
    </row>
    <row r="2772" spans="1:7" x14ac:dyDescent="0.25">
      <c r="A2772" s="2" t="s">
        <v>47</v>
      </c>
      <c r="B2772" s="2" t="s">
        <v>3</v>
      </c>
      <c r="C2772" s="2">
        <v>1</v>
      </c>
      <c r="D2772" s="2">
        <v>1</v>
      </c>
      <c r="E2772" s="2">
        <v>1</v>
      </c>
      <c r="F2772" s="2">
        <v>0</v>
      </c>
      <c r="G2772" s="2">
        <v>0</v>
      </c>
    </row>
    <row r="2773" spans="1:7" x14ac:dyDescent="0.25">
      <c r="A2773" s="2" t="s">
        <v>47</v>
      </c>
      <c r="B2773" s="2" t="s">
        <v>11</v>
      </c>
      <c r="C2773" s="2">
        <v>1</v>
      </c>
      <c r="D2773" s="2">
        <v>1</v>
      </c>
      <c r="E2773" s="2">
        <v>1</v>
      </c>
      <c r="F2773" s="2">
        <v>0</v>
      </c>
      <c r="G2773" s="2">
        <v>0</v>
      </c>
    </row>
    <row r="2774" spans="1:7" x14ac:dyDescent="0.25">
      <c r="A2774" s="2" t="s">
        <v>47</v>
      </c>
      <c r="B2774" s="2" t="s">
        <v>174</v>
      </c>
      <c r="C2774" s="2">
        <v>11</v>
      </c>
      <c r="D2774" s="2">
        <v>11</v>
      </c>
      <c r="E2774" s="2">
        <v>9</v>
      </c>
      <c r="F2774" s="2">
        <v>2</v>
      </c>
      <c r="G2774" s="2">
        <v>0</v>
      </c>
    </row>
    <row r="2775" spans="1:7" x14ac:dyDescent="0.25">
      <c r="A2775" s="2" t="s">
        <v>47</v>
      </c>
      <c r="B2775" s="2" t="s">
        <v>175</v>
      </c>
      <c r="C2775" s="2">
        <v>7</v>
      </c>
      <c r="D2775" s="2">
        <v>7</v>
      </c>
      <c r="E2775" s="2">
        <v>7</v>
      </c>
      <c r="F2775" s="2">
        <v>0</v>
      </c>
      <c r="G2775" s="2">
        <v>0</v>
      </c>
    </row>
    <row r="2776" spans="1:7" x14ac:dyDescent="0.25">
      <c r="A2776" s="2" t="s">
        <v>47</v>
      </c>
      <c r="B2776" s="2" t="s">
        <v>176</v>
      </c>
      <c r="C2776" s="2">
        <v>2</v>
      </c>
      <c r="D2776" s="2">
        <v>2</v>
      </c>
      <c r="E2776" s="2">
        <v>2</v>
      </c>
      <c r="F2776" s="2">
        <v>0</v>
      </c>
      <c r="G2776" s="2">
        <v>0</v>
      </c>
    </row>
    <row r="2777" spans="1:7" x14ac:dyDescent="0.25">
      <c r="A2777" s="2" t="s">
        <v>77</v>
      </c>
      <c r="B2777" s="2" t="s">
        <v>3</v>
      </c>
      <c r="C2777" s="2">
        <v>1</v>
      </c>
      <c r="D2777" s="2">
        <v>1</v>
      </c>
      <c r="E2777" s="2">
        <v>1</v>
      </c>
      <c r="F2777" s="2">
        <v>0</v>
      </c>
      <c r="G2777" s="2">
        <v>0</v>
      </c>
    </row>
    <row r="2778" spans="1:7" x14ac:dyDescent="0.25">
      <c r="A2778" s="2" t="s">
        <v>77</v>
      </c>
      <c r="B2778" s="2" t="s">
        <v>11</v>
      </c>
      <c r="C2778" s="2">
        <v>23</v>
      </c>
      <c r="D2778" s="2">
        <v>22</v>
      </c>
      <c r="E2778" s="2">
        <v>12</v>
      </c>
      <c r="F2778" s="2">
        <v>10</v>
      </c>
      <c r="G2778" s="2">
        <v>0</v>
      </c>
    </row>
    <row r="2779" spans="1:7" x14ac:dyDescent="0.25">
      <c r="A2779" s="2" t="s">
        <v>77</v>
      </c>
      <c r="B2779" s="2" t="s">
        <v>174</v>
      </c>
      <c r="C2779" s="2">
        <v>22</v>
      </c>
      <c r="D2779" s="2">
        <v>21</v>
      </c>
      <c r="E2779" s="2">
        <v>12</v>
      </c>
      <c r="F2779" s="2">
        <v>9</v>
      </c>
      <c r="G2779" s="2">
        <v>0</v>
      </c>
    </row>
    <row r="2780" spans="1:7" x14ac:dyDescent="0.25">
      <c r="A2780" s="2" t="s">
        <v>77</v>
      </c>
      <c r="B2780" s="2" t="s">
        <v>176</v>
      </c>
      <c r="C2780" s="2">
        <v>27</v>
      </c>
      <c r="D2780" s="2">
        <v>25</v>
      </c>
      <c r="E2780" s="2">
        <v>14</v>
      </c>
      <c r="F2780" s="2">
        <v>11</v>
      </c>
      <c r="G2780" s="2">
        <v>0</v>
      </c>
    </row>
    <row r="2781" spans="1:7" x14ac:dyDescent="0.25">
      <c r="A2781" s="2" t="s">
        <v>184</v>
      </c>
      <c r="B2781" s="2" t="s">
        <v>11</v>
      </c>
      <c r="C2781" s="2">
        <v>13</v>
      </c>
      <c r="D2781" s="2">
        <v>13</v>
      </c>
      <c r="E2781" s="2">
        <v>12</v>
      </c>
      <c r="F2781" s="2">
        <v>1</v>
      </c>
      <c r="G2781" s="2">
        <v>0</v>
      </c>
    </row>
    <row r="2782" spans="1:7" x14ac:dyDescent="0.25">
      <c r="A2782" s="2" t="s">
        <v>184</v>
      </c>
      <c r="B2782" s="2" t="s">
        <v>174</v>
      </c>
      <c r="C2782" s="2">
        <v>10</v>
      </c>
      <c r="D2782" s="2">
        <v>10</v>
      </c>
      <c r="E2782" s="2">
        <v>6</v>
      </c>
      <c r="F2782" s="2">
        <v>4</v>
      </c>
      <c r="G2782" s="2">
        <v>0</v>
      </c>
    </row>
    <row r="2783" spans="1:7" x14ac:dyDescent="0.25">
      <c r="A2783" s="2" t="s">
        <v>184</v>
      </c>
      <c r="B2783" s="2" t="s">
        <v>175</v>
      </c>
      <c r="C2783" s="2">
        <v>1</v>
      </c>
      <c r="D2783" s="2">
        <v>1</v>
      </c>
      <c r="E2783" s="2">
        <v>0</v>
      </c>
      <c r="F2783" s="2">
        <v>1</v>
      </c>
      <c r="G2783" s="2">
        <v>0</v>
      </c>
    </row>
    <row r="2784" spans="1:7" x14ac:dyDescent="0.25">
      <c r="A2784" s="2" t="s">
        <v>184</v>
      </c>
      <c r="B2784" s="2" t="s">
        <v>176</v>
      </c>
      <c r="C2784" s="2">
        <v>31</v>
      </c>
      <c r="D2784" s="2">
        <v>31</v>
      </c>
      <c r="E2784" s="2">
        <v>27</v>
      </c>
      <c r="F2784" s="2">
        <v>4</v>
      </c>
      <c r="G2784" s="2">
        <v>0</v>
      </c>
    </row>
    <row r="2785" spans="1:7" x14ac:dyDescent="0.25">
      <c r="A2785" s="2" t="s">
        <v>22</v>
      </c>
      <c r="B2785" s="2" t="s">
        <v>11</v>
      </c>
      <c r="C2785" s="2">
        <v>10</v>
      </c>
      <c r="D2785" s="2">
        <v>10</v>
      </c>
      <c r="E2785" s="2">
        <v>9</v>
      </c>
      <c r="F2785" s="2">
        <v>1</v>
      </c>
      <c r="G2785" s="2">
        <v>0</v>
      </c>
    </row>
    <row r="2786" spans="1:7" x14ac:dyDescent="0.25">
      <c r="A2786" s="2" t="s">
        <v>22</v>
      </c>
      <c r="B2786" s="2" t="s">
        <v>174</v>
      </c>
      <c r="C2786" s="2">
        <v>29</v>
      </c>
      <c r="D2786" s="2">
        <v>29</v>
      </c>
      <c r="E2786" s="2">
        <v>20</v>
      </c>
      <c r="F2786" s="2">
        <v>9</v>
      </c>
      <c r="G2786" s="2">
        <v>0</v>
      </c>
    </row>
    <row r="2787" spans="1:7" x14ac:dyDescent="0.25">
      <c r="A2787" s="2" t="s">
        <v>22</v>
      </c>
      <c r="B2787" s="2" t="s">
        <v>175</v>
      </c>
      <c r="C2787" s="2">
        <v>43</v>
      </c>
      <c r="D2787" s="2">
        <v>42</v>
      </c>
      <c r="E2787" s="2">
        <v>25</v>
      </c>
      <c r="F2787" s="2">
        <v>17</v>
      </c>
      <c r="G2787" s="2">
        <v>0</v>
      </c>
    </row>
    <row r="2788" spans="1:7" x14ac:dyDescent="0.25">
      <c r="A2788" s="2" t="s">
        <v>22</v>
      </c>
      <c r="B2788" s="2" t="s">
        <v>176</v>
      </c>
      <c r="C2788" s="2">
        <v>7</v>
      </c>
      <c r="D2788" s="2">
        <v>7</v>
      </c>
      <c r="E2788" s="2">
        <v>3</v>
      </c>
      <c r="F2788" s="2">
        <v>4</v>
      </c>
      <c r="G2788" s="2">
        <v>0</v>
      </c>
    </row>
    <row r="2789" spans="1:7" x14ac:dyDescent="0.25">
      <c r="A2789" s="2" t="s">
        <v>126</v>
      </c>
      <c r="B2789" s="2" t="s">
        <v>11</v>
      </c>
      <c r="C2789" s="2">
        <v>21</v>
      </c>
      <c r="D2789" s="2">
        <v>21</v>
      </c>
      <c r="E2789" s="2">
        <v>17</v>
      </c>
      <c r="F2789" s="2">
        <v>4</v>
      </c>
      <c r="G2789" s="2">
        <v>0</v>
      </c>
    </row>
    <row r="2790" spans="1:7" x14ac:dyDescent="0.25">
      <c r="A2790" s="2" t="s">
        <v>126</v>
      </c>
      <c r="B2790" s="2" t="s">
        <v>174</v>
      </c>
      <c r="C2790" s="2">
        <v>18</v>
      </c>
      <c r="D2790" s="2">
        <v>18</v>
      </c>
      <c r="E2790" s="2">
        <v>15</v>
      </c>
      <c r="F2790" s="2">
        <v>3</v>
      </c>
      <c r="G2790" s="2">
        <v>0</v>
      </c>
    </row>
    <row r="2791" spans="1:7" x14ac:dyDescent="0.25">
      <c r="A2791" s="2" t="s">
        <v>126</v>
      </c>
      <c r="B2791" s="2" t="s">
        <v>175</v>
      </c>
      <c r="C2791" s="2">
        <v>1</v>
      </c>
      <c r="D2791" s="2">
        <v>1</v>
      </c>
      <c r="E2791" s="2">
        <v>0</v>
      </c>
      <c r="F2791" s="2">
        <v>1</v>
      </c>
      <c r="G2791" s="2">
        <v>0</v>
      </c>
    </row>
    <row r="2792" spans="1:7" x14ac:dyDescent="0.25">
      <c r="A2792" s="2" t="s">
        <v>126</v>
      </c>
      <c r="B2792" s="2" t="s">
        <v>176</v>
      </c>
      <c r="C2792" s="2">
        <v>17</v>
      </c>
      <c r="D2792" s="2">
        <v>17</v>
      </c>
      <c r="E2792" s="2">
        <v>15</v>
      </c>
      <c r="F2792" s="2">
        <v>2</v>
      </c>
      <c r="G2792" s="2">
        <v>0</v>
      </c>
    </row>
    <row r="2793" spans="1:7" x14ac:dyDescent="0.25">
      <c r="A2793" s="2" t="s">
        <v>123</v>
      </c>
      <c r="B2793" s="2" t="s">
        <v>11</v>
      </c>
      <c r="C2793" s="2">
        <v>30</v>
      </c>
      <c r="D2793" s="2">
        <v>28</v>
      </c>
      <c r="E2793" s="2">
        <v>18</v>
      </c>
      <c r="F2793" s="2">
        <v>10</v>
      </c>
      <c r="G2793" s="2">
        <v>1</v>
      </c>
    </row>
    <row r="2794" spans="1:7" x14ac:dyDescent="0.25">
      <c r="A2794" s="2" t="s">
        <v>123</v>
      </c>
      <c r="B2794" s="2" t="s">
        <v>174</v>
      </c>
      <c r="C2794" s="2">
        <v>52</v>
      </c>
      <c r="D2794" s="2">
        <v>51</v>
      </c>
      <c r="E2794" s="2">
        <v>26</v>
      </c>
      <c r="F2794" s="2">
        <v>25</v>
      </c>
      <c r="G2794" s="2">
        <v>0</v>
      </c>
    </row>
    <row r="2795" spans="1:7" x14ac:dyDescent="0.25">
      <c r="A2795" s="2" t="s">
        <v>123</v>
      </c>
      <c r="B2795" s="2" t="s">
        <v>175</v>
      </c>
      <c r="C2795" s="2">
        <v>1</v>
      </c>
      <c r="D2795" s="2">
        <v>1</v>
      </c>
      <c r="E2795" s="2">
        <v>0</v>
      </c>
      <c r="F2795" s="2">
        <v>1</v>
      </c>
      <c r="G2795" s="2">
        <v>0</v>
      </c>
    </row>
    <row r="2796" spans="1:7" x14ac:dyDescent="0.25">
      <c r="A2796" s="2" t="s">
        <v>123</v>
      </c>
      <c r="B2796" s="2" t="s">
        <v>176</v>
      </c>
      <c r="C2796" s="2">
        <v>34</v>
      </c>
      <c r="D2796" s="2">
        <v>34</v>
      </c>
      <c r="E2796" s="2">
        <v>21</v>
      </c>
      <c r="F2796" s="2">
        <v>13</v>
      </c>
      <c r="G2796" s="2">
        <v>0</v>
      </c>
    </row>
    <row r="2797" spans="1:7" x14ac:dyDescent="0.25">
      <c r="A2797" s="2" t="s">
        <v>31</v>
      </c>
      <c r="B2797" s="2" t="s">
        <v>11</v>
      </c>
      <c r="C2797" s="2">
        <v>15</v>
      </c>
      <c r="D2797" s="2">
        <v>15</v>
      </c>
      <c r="E2797" s="2">
        <v>15</v>
      </c>
      <c r="F2797" s="2">
        <v>0</v>
      </c>
      <c r="G2797" s="2">
        <v>0</v>
      </c>
    </row>
    <row r="2798" spans="1:7" x14ac:dyDescent="0.25">
      <c r="A2798" s="2" t="s">
        <v>31</v>
      </c>
      <c r="B2798" s="2" t="s">
        <v>174</v>
      </c>
      <c r="C2798" s="2">
        <v>15</v>
      </c>
      <c r="D2798" s="2">
        <v>15</v>
      </c>
      <c r="E2798" s="2">
        <v>14</v>
      </c>
      <c r="F2798" s="2">
        <v>1</v>
      </c>
      <c r="G2798" s="2">
        <v>0</v>
      </c>
    </row>
    <row r="2799" spans="1:7" x14ac:dyDescent="0.25">
      <c r="A2799" s="2" t="s">
        <v>31</v>
      </c>
      <c r="B2799" s="2" t="s">
        <v>175</v>
      </c>
      <c r="C2799" s="2">
        <v>35</v>
      </c>
      <c r="D2799" s="2">
        <v>35</v>
      </c>
      <c r="E2799" s="2">
        <v>31</v>
      </c>
      <c r="F2799" s="2">
        <v>4</v>
      </c>
      <c r="G2799" s="2">
        <v>0</v>
      </c>
    </row>
    <row r="2800" spans="1:7" x14ac:dyDescent="0.25">
      <c r="A2800" s="2" t="s">
        <v>31</v>
      </c>
      <c r="B2800" s="2" t="s">
        <v>182</v>
      </c>
      <c r="C2800" s="2">
        <v>1</v>
      </c>
      <c r="D2800" s="2">
        <v>1</v>
      </c>
      <c r="E2800" s="2">
        <v>1</v>
      </c>
      <c r="F2800" s="2">
        <v>0</v>
      </c>
      <c r="G2800" s="2">
        <v>0</v>
      </c>
    </row>
    <row r="2801" spans="1:7" x14ac:dyDescent="0.25">
      <c r="A2801" s="2" t="s">
        <v>31</v>
      </c>
      <c r="B2801" s="2" t="s">
        <v>176</v>
      </c>
      <c r="C2801" s="2">
        <v>16</v>
      </c>
      <c r="D2801" s="2">
        <v>16</v>
      </c>
      <c r="E2801" s="2">
        <v>15</v>
      </c>
      <c r="F2801" s="2">
        <v>1</v>
      </c>
      <c r="G2801" s="2">
        <v>0</v>
      </c>
    </row>
    <row r="2802" spans="1:7" x14ac:dyDescent="0.25">
      <c r="A2802" s="2" t="s">
        <v>149</v>
      </c>
      <c r="B2802" s="2" t="s">
        <v>3</v>
      </c>
      <c r="C2802" s="2">
        <v>1</v>
      </c>
      <c r="D2802" s="2">
        <v>1</v>
      </c>
      <c r="E2802" s="2">
        <v>1</v>
      </c>
      <c r="F2802" s="2">
        <v>0</v>
      </c>
      <c r="G2802" s="2">
        <v>0</v>
      </c>
    </row>
    <row r="2803" spans="1:7" x14ac:dyDescent="0.25">
      <c r="A2803" s="2" t="s">
        <v>149</v>
      </c>
      <c r="B2803" s="2" t="s">
        <v>11</v>
      </c>
      <c r="C2803" s="2">
        <v>5</v>
      </c>
      <c r="D2803" s="2">
        <v>5</v>
      </c>
      <c r="E2803" s="2">
        <v>4</v>
      </c>
      <c r="F2803" s="2">
        <v>1</v>
      </c>
      <c r="G2803" s="2">
        <v>0</v>
      </c>
    </row>
    <row r="2804" spans="1:7" x14ac:dyDescent="0.25">
      <c r="A2804" s="2" t="s">
        <v>149</v>
      </c>
      <c r="B2804" s="2" t="s">
        <v>174</v>
      </c>
      <c r="C2804" s="2">
        <v>8</v>
      </c>
      <c r="D2804" s="2">
        <v>7</v>
      </c>
      <c r="E2804" s="2">
        <v>4</v>
      </c>
      <c r="F2804" s="2">
        <v>3</v>
      </c>
      <c r="G2804" s="2">
        <v>0</v>
      </c>
    </row>
    <row r="2805" spans="1:7" x14ac:dyDescent="0.25">
      <c r="A2805" s="2" t="s">
        <v>149</v>
      </c>
      <c r="B2805" s="2" t="s">
        <v>175</v>
      </c>
      <c r="C2805" s="2">
        <v>29</v>
      </c>
      <c r="D2805" s="2">
        <v>24</v>
      </c>
      <c r="E2805" s="2">
        <v>22</v>
      </c>
      <c r="F2805" s="2">
        <v>2</v>
      </c>
      <c r="G2805" s="2">
        <v>0</v>
      </c>
    </row>
    <row r="2806" spans="1:7" x14ac:dyDescent="0.25">
      <c r="A2806" s="2" t="s">
        <v>149</v>
      </c>
      <c r="B2806" s="2" t="s">
        <v>176</v>
      </c>
      <c r="C2806" s="2">
        <v>11</v>
      </c>
      <c r="D2806" s="2">
        <v>11</v>
      </c>
      <c r="E2806" s="2">
        <v>10</v>
      </c>
      <c r="F2806" s="2">
        <v>1</v>
      </c>
      <c r="G2806" s="2">
        <v>0</v>
      </c>
    </row>
    <row r="2807" spans="1:7" x14ac:dyDescent="0.25">
      <c r="A2807" s="2" t="s">
        <v>168</v>
      </c>
      <c r="B2807" s="2" t="s">
        <v>11</v>
      </c>
      <c r="C2807" s="2">
        <v>3</v>
      </c>
      <c r="D2807" s="2">
        <v>3</v>
      </c>
      <c r="E2807" s="2">
        <v>3</v>
      </c>
      <c r="F2807" s="2">
        <v>0</v>
      </c>
      <c r="G2807" s="2">
        <v>0</v>
      </c>
    </row>
    <row r="2808" spans="1:7" x14ac:dyDescent="0.25">
      <c r="A2808" s="2" t="s">
        <v>168</v>
      </c>
      <c r="B2808" s="2" t="s">
        <v>174</v>
      </c>
      <c r="C2808" s="2">
        <v>2</v>
      </c>
      <c r="D2808" s="2">
        <v>2</v>
      </c>
      <c r="E2808" s="2">
        <v>1</v>
      </c>
      <c r="F2808" s="2">
        <v>1</v>
      </c>
      <c r="G2808" s="2">
        <v>0</v>
      </c>
    </row>
    <row r="2809" spans="1:7" x14ac:dyDescent="0.25">
      <c r="A2809" s="2" t="s">
        <v>168</v>
      </c>
      <c r="B2809" s="2" t="s">
        <v>175</v>
      </c>
      <c r="C2809" s="2">
        <v>1</v>
      </c>
      <c r="D2809" s="2">
        <v>1</v>
      </c>
      <c r="E2809" s="2">
        <v>0</v>
      </c>
      <c r="F2809" s="2">
        <v>1</v>
      </c>
      <c r="G2809" s="2">
        <v>0</v>
      </c>
    </row>
    <row r="2810" spans="1:7" x14ac:dyDescent="0.25">
      <c r="A2810" s="2" t="s">
        <v>168</v>
      </c>
      <c r="B2810" s="2" t="s">
        <v>176</v>
      </c>
      <c r="C2810" s="2">
        <v>29</v>
      </c>
      <c r="D2810" s="2">
        <v>29</v>
      </c>
      <c r="E2810" s="2">
        <v>20</v>
      </c>
      <c r="F2810" s="2">
        <v>9</v>
      </c>
      <c r="G2810" s="2">
        <v>0</v>
      </c>
    </row>
    <row r="2811" spans="1:7" x14ac:dyDescent="0.25">
      <c r="A2811" s="2" t="s">
        <v>32</v>
      </c>
      <c r="B2811" s="2" t="s">
        <v>3</v>
      </c>
      <c r="C2811" s="2">
        <v>2</v>
      </c>
      <c r="D2811" s="2">
        <v>2</v>
      </c>
      <c r="E2811" s="2">
        <v>2</v>
      </c>
      <c r="F2811" s="2">
        <v>0</v>
      </c>
      <c r="G2811" s="2">
        <v>0</v>
      </c>
    </row>
    <row r="2812" spans="1:7" x14ac:dyDescent="0.25">
      <c r="A2812" s="2" t="s">
        <v>32</v>
      </c>
      <c r="B2812" s="2" t="s">
        <v>11</v>
      </c>
      <c r="C2812" s="2">
        <v>37</v>
      </c>
      <c r="D2812" s="2">
        <v>37</v>
      </c>
      <c r="E2812" s="2">
        <v>33</v>
      </c>
      <c r="F2812" s="2">
        <v>4</v>
      </c>
      <c r="G2812" s="2">
        <v>0</v>
      </c>
    </row>
    <row r="2813" spans="1:7" x14ac:dyDescent="0.25">
      <c r="A2813" s="2" t="s">
        <v>32</v>
      </c>
      <c r="B2813" s="2" t="s">
        <v>174</v>
      </c>
      <c r="C2813" s="2">
        <v>54</v>
      </c>
      <c r="D2813" s="2">
        <v>54</v>
      </c>
      <c r="E2813" s="2">
        <v>50</v>
      </c>
      <c r="F2813" s="2">
        <v>4</v>
      </c>
      <c r="G2813" s="2">
        <v>0</v>
      </c>
    </row>
    <row r="2814" spans="1:7" x14ac:dyDescent="0.25">
      <c r="A2814" s="2" t="s">
        <v>32</v>
      </c>
      <c r="B2814" s="2" t="s">
        <v>175</v>
      </c>
      <c r="C2814" s="2">
        <v>81</v>
      </c>
      <c r="D2814" s="2">
        <v>78</v>
      </c>
      <c r="E2814" s="2">
        <v>69</v>
      </c>
      <c r="F2814" s="2">
        <v>9</v>
      </c>
      <c r="G2814" s="2">
        <v>0</v>
      </c>
    </row>
    <row r="2815" spans="1:7" x14ac:dyDescent="0.25">
      <c r="A2815" s="2" t="s">
        <v>32</v>
      </c>
      <c r="B2815" s="2" t="s">
        <v>182</v>
      </c>
      <c r="C2815" s="2">
        <v>1</v>
      </c>
      <c r="D2815" s="2">
        <v>1</v>
      </c>
      <c r="E2815" s="2">
        <v>1</v>
      </c>
      <c r="F2815" s="2">
        <v>0</v>
      </c>
      <c r="G2815" s="2">
        <v>0</v>
      </c>
    </row>
    <row r="2816" spans="1:7" x14ac:dyDescent="0.25">
      <c r="A2816" s="2" t="s">
        <v>32</v>
      </c>
      <c r="B2816" s="2" t="s">
        <v>176</v>
      </c>
      <c r="C2816" s="2">
        <v>29</v>
      </c>
      <c r="D2816" s="2">
        <v>29</v>
      </c>
      <c r="E2816" s="2">
        <v>22</v>
      </c>
      <c r="F2816" s="2">
        <v>7</v>
      </c>
      <c r="G2816" s="2">
        <v>0</v>
      </c>
    </row>
    <row r="2817" spans="1:7" x14ac:dyDescent="0.25">
      <c r="A2817" s="2" t="s">
        <v>116</v>
      </c>
      <c r="B2817" s="2" t="s">
        <v>11</v>
      </c>
      <c r="C2817" s="2">
        <v>10</v>
      </c>
      <c r="D2817" s="2">
        <v>10</v>
      </c>
      <c r="E2817" s="2">
        <v>9</v>
      </c>
      <c r="F2817" s="2">
        <v>1</v>
      </c>
      <c r="G2817" s="2">
        <v>0</v>
      </c>
    </row>
    <row r="2818" spans="1:7" x14ac:dyDescent="0.25">
      <c r="A2818" s="2" t="s">
        <v>116</v>
      </c>
      <c r="B2818" s="2" t="s">
        <v>174</v>
      </c>
      <c r="C2818" s="2">
        <v>10</v>
      </c>
      <c r="D2818" s="2">
        <v>10</v>
      </c>
      <c r="E2818" s="2">
        <v>4</v>
      </c>
      <c r="F2818" s="2">
        <v>6</v>
      </c>
      <c r="G2818" s="2">
        <v>0</v>
      </c>
    </row>
    <row r="2819" spans="1:7" x14ac:dyDescent="0.25">
      <c r="A2819" s="2" t="s">
        <v>116</v>
      </c>
      <c r="B2819" s="2" t="s">
        <v>176</v>
      </c>
      <c r="C2819" s="2">
        <v>14</v>
      </c>
      <c r="D2819" s="2">
        <v>14</v>
      </c>
      <c r="E2819" s="2">
        <v>11</v>
      </c>
      <c r="F2819" s="2">
        <v>3</v>
      </c>
      <c r="G2819" s="2">
        <v>0</v>
      </c>
    </row>
    <row r="2820" spans="1:7" x14ac:dyDescent="0.25">
      <c r="A2820" s="2" t="s">
        <v>78</v>
      </c>
      <c r="B2820" s="2" t="s">
        <v>3</v>
      </c>
      <c r="C2820" s="2">
        <v>1</v>
      </c>
      <c r="D2820" s="2">
        <v>1</v>
      </c>
      <c r="E2820" s="2">
        <v>1</v>
      </c>
      <c r="F2820" s="2">
        <v>0</v>
      </c>
      <c r="G2820" s="2">
        <v>0</v>
      </c>
    </row>
    <row r="2821" spans="1:7" x14ac:dyDescent="0.25">
      <c r="A2821" s="2" t="s">
        <v>78</v>
      </c>
      <c r="B2821" s="2" t="s">
        <v>11</v>
      </c>
      <c r="C2821" s="2">
        <v>2</v>
      </c>
      <c r="D2821" s="2">
        <v>2</v>
      </c>
      <c r="E2821" s="2">
        <v>2</v>
      </c>
      <c r="F2821" s="2">
        <v>0</v>
      </c>
      <c r="G2821" s="2">
        <v>0</v>
      </c>
    </row>
    <row r="2822" spans="1:7" x14ac:dyDescent="0.25">
      <c r="A2822" s="2" t="s">
        <v>78</v>
      </c>
      <c r="B2822" s="2" t="s">
        <v>174</v>
      </c>
      <c r="C2822" s="2">
        <v>3</v>
      </c>
      <c r="D2822" s="2">
        <v>3</v>
      </c>
      <c r="E2822" s="2">
        <v>1</v>
      </c>
      <c r="F2822" s="2">
        <v>2</v>
      </c>
      <c r="G2822" s="2">
        <v>0</v>
      </c>
    </row>
    <row r="2823" spans="1:7" x14ac:dyDescent="0.25">
      <c r="A2823" s="2" t="s">
        <v>78</v>
      </c>
      <c r="B2823" s="2" t="s">
        <v>176</v>
      </c>
      <c r="C2823" s="2">
        <v>7</v>
      </c>
      <c r="D2823" s="2">
        <v>7</v>
      </c>
      <c r="E2823" s="2">
        <v>4</v>
      </c>
      <c r="F2823" s="2">
        <v>3</v>
      </c>
      <c r="G2823" s="2">
        <v>0</v>
      </c>
    </row>
    <row r="2824" spans="1:7" x14ac:dyDescent="0.25">
      <c r="A2824" s="2" t="s">
        <v>112</v>
      </c>
      <c r="B2824" s="2" t="s">
        <v>3</v>
      </c>
      <c r="C2824" s="2">
        <v>1</v>
      </c>
      <c r="D2824" s="2">
        <v>1</v>
      </c>
      <c r="E2824" s="2">
        <v>1</v>
      </c>
      <c r="F2824" s="2">
        <v>0</v>
      </c>
      <c r="G2824" s="2">
        <v>0</v>
      </c>
    </row>
    <row r="2825" spans="1:7" x14ac:dyDescent="0.25">
      <c r="A2825" s="2" t="s">
        <v>112</v>
      </c>
      <c r="B2825" s="2" t="s">
        <v>11</v>
      </c>
      <c r="C2825" s="2">
        <v>17</v>
      </c>
      <c r="D2825" s="2">
        <v>17</v>
      </c>
      <c r="E2825" s="2">
        <v>10</v>
      </c>
      <c r="F2825" s="2">
        <v>7</v>
      </c>
      <c r="G2825" s="2">
        <v>0</v>
      </c>
    </row>
    <row r="2826" spans="1:7" x14ac:dyDescent="0.25">
      <c r="A2826" s="2" t="s">
        <v>112</v>
      </c>
      <c r="B2826" s="2" t="s">
        <v>174</v>
      </c>
      <c r="C2826" s="2">
        <v>13</v>
      </c>
      <c r="D2826" s="2">
        <v>13</v>
      </c>
      <c r="E2826" s="2">
        <v>7</v>
      </c>
      <c r="F2826" s="2">
        <v>6</v>
      </c>
      <c r="G2826" s="2">
        <v>0</v>
      </c>
    </row>
    <row r="2827" spans="1:7" x14ac:dyDescent="0.25">
      <c r="A2827" s="2" t="s">
        <v>112</v>
      </c>
      <c r="B2827" s="2" t="s">
        <v>176</v>
      </c>
      <c r="C2827" s="2">
        <v>44</v>
      </c>
      <c r="D2827" s="2">
        <v>44</v>
      </c>
      <c r="E2827" s="2">
        <v>33</v>
      </c>
      <c r="F2827" s="2">
        <v>11</v>
      </c>
      <c r="G2827" s="2">
        <v>0</v>
      </c>
    </row>
    <row r="2828" spans="1:7" x14ac:dyDescent="0.25">
      <c r="A2828" s="2" t="s">
        <v>146</v>
      </c>
      <c r="B2828" s="2" t="s">
        <v>3</v>
      </c>
      <c r="C2828" s="2">
        <v>1</v>
      </c>
      <c r="D2828" s="2">
        <v>1</v>
      </c>
      <c r="E2828" s="2">
        <v>1</v>
      </c>
      <c r="F2828" s="2">
        <v>0</v>
      </c>
      <c r="G2828" s="2">
        <v>0</v>
      </c>
    </row>
    <row r="2829" spans="1:7" x14ac:dyDescent="0.25">
      <c r="A2829" s="2" t="s">
        <v>146</v>
      </c>
      <c r="B2829" s="2" t="s">
        <v>11</v>
      </c>
      <c r="C2829" s="2">
        <v>2</v>
      </c>
      <c r="D2829" s="2">
        <v>2</v>
      </c>
      <c r="E2829" s="2">
        <v>2</v>
      </c>
      <c r="F2829" s="2">
        <v>0</v>
      </c>
      <c r="G2829" s="2">
        <v>0</v>
      </c>
    </row>
    <row r="2830" spans="1:7" x14ac:dyDescent="0.25">
      <c r="A2830" s="2" t="s">
        <v>146</v>
      </c>
      <c r="B2830" s="2" t="s">
        <v>174</v>
      </c>
      <c r="C2830" s="2">
        <v>8</v>
      </c>
      <c r="D2830" s="2">
        <v>8</v>
      </c>
      <c r="E2830" s="2">
        <v>8</v>
      </c>
      <c r="F2830" s="2">
        <v>0</v>
      </c>
      <c r="G2830" s="2">
        <v>0</v>
      </c>
    </row>
    <row r="2831" spans="1:7" x14ac:dyDescent="0.25">
      <c r="A2831" s="2" t="s">
        <v>146</v>
      </c>
      <c r="B2831" s="2" t="s">
        <v>175</v>
      </c>
      <c r="C2831" s="2">
        <v>10</v>
      </c>
      <c r="D2831" s="2">
        <v>9</v>
      </c>
      <c r="E2831" s="2">
        <v>8</v>
      </c>
      <c r="F2831" s="2">
        <v>1</v>
      </c>
      <c r="G2831" s="2">
        <v>0</v>
      </c>
    </row>
    <row r="2832" spans="1:7" x14ac:dyDescent="0.25">
      <c r="A2832" s="2" t="s">
        <v>146</v>
      </c>
      <c r="B2832" s="2" t="s">
        <v>176</v>
      </c>
      <c r="C2832" s="2">
        <v>13</v>
      </c>
      <c r="D2832" s="2">
        <v>13</v>
      </c>
      <c r="E2832" s="2">
        <v>12</v>
      </c>
      <c r="F2832" s="2">
        <v>1</v>
      </c>
      <c r="G2832" s="2">
        <v>0</v>
      </c>
    </row>
    <row r="2833" spans="1:13" x14ac:dyDescent="0.25">
      <c r="A2833" s="2" t="s">
        <v>62</v>
      </c>
      <c r="B2833" s="2" t="s">
        <v>3</v>
      </c>
      <c r="C2833" s="2">
        <v>1</v>
      </c>
      <c r="D2833" s="2">
        <v>1</v>
      </c>
      <c r="E2833" s="2">
        <v>1</v>
      </c>
      <c r="F2833" s="2">
        <v>0</v>
      </c>
      <c r="G2833" s="2">
        <v>0</v>
      </c>
    </row>
    <row r="2834" spans="1:13" x14ac:dyDescent="0.25">
      <c r="A2834" s="2" t="s">
        <v>62</v>
      </c>
      <c r="B2834" s="2" t="s">
        <v>11</v>
      </c>
      <c r="C2834" s="2">
        <v>21</v>
      </c>
      <c r="D2834" s="2">
        <v>21</v>
      </c>
      <c r="E2834" s="2">
        <v>10</v>
      </c>
      <c r="F2834" s="2">
        <v>11</v>
      </c>
      <c r="G2834" s="2">
        <v>0</v>
      </c>
    </row>
    <row r="2835" spans="1:13" x14ac:dyDescent="0.25">
      <c r="A2835" s="2" t="s">
        <v>62</v>
      </c>
      <c r="B2835" s="2" t="s">
        <v>174</v>
      </c>
      <c r="C2835" s="2">
        <v>15</v>
      </c>
      <c r="D2835" s="2">
        <v>15</v>
      </c>
      <c r="E2835" s="2">
        <v>8</v>
      </c>
      <c r="F2835" s="2">
        <v>7</v>
      </c>
      <c r="G2835" s="2">
        <v>0</v>
      </c>
    </row>
    <row r="2836" spans="1:13" x14ac:dyDescent="0.25">
      <c r="A2836" s="2" t="s">
        <v>62</v>
      </c>
      <c r="B2836" s="2" t="s">
        <v>176</v>
      </c>
      <c r="C2836" s="2">
        <v>113</v>
      </c>
      <c r="D2836" s="2">
        <v>112</v>
      </c>
      <c r="E2836" s="2">
        <v>54</v>
      </c>
      <c r="F2836" s="2">
        <v>58</v>
      </c>
      <c r="G2836" s="2">
        <v>0</v>
      </c>
    </row>
    <row r="2837" spans="1:13" x14ac:dyDescent="0.25">
      <c r="A2837" s="2" t="s">
        <v>79</v>
      </c>
      <c r="B2837" s="2" t="s">
        <v>11</v>
      </c>
      <c r="C2837" s="2">
        <v>9</v>
      </c>
      <c r="D2837" s="2">
        <v>9</v>
      </c>
      <c r="E2837" s="2">
        <v>8</v>
      </c>
      <c r="F2837" s="2">
        <v>1</v>
      </c>
      <c r="G2837" s="2">
        <v>0</v>
      </c>
    </row>
    <row r="2838" spans="1:13" x14ac:dyDescent="0.25">
      <c r="A2838" s="2" t="s">
        <v>79</v>
      </c>
      <c r="B2838" s="2" t="s">
        <v>174</v>
      </c>
      <c r="C2838" s="2">
        <v>26</v>
      </c>
      <c r="D2838" s="2">
        <v>26</v>
      </c>
      <c r="E2838" s="2">
        <v>16</v>
      </c>
      <c r="F2838" s="2">
        <v>10</v>
      </c>
      <c r="G2838" s="2">
        <v>0</v>
      </c>
    </row>
    <row r="2839" spans="1:13" x14ac:dyDescent="0.25">
      <c r="A2839" s="2" t="s">
        <v>79</v>
      </c>
      <c r="B2839" s="2" t="s">
        <v>175</v>
      </c>
      <c r="C2839" s="2">
        <v>21</v>
      </c>
      <c r="D2839" s="2">
        <v>19</v>
      </c>
      <c r="E2839" s="2">
        <v>16</v>
      </c>
      <c r="F2839" s="2">
        <v>3</v>
      </c>
      <c r="G2839" s="2">
        <v>0</v>
      </c>
    </row>
    <row r="2840" spans="1:13" x14ac:dyDescent="0.25">
      <c r="A2840" s="2" t="s">
        <v>79</v>
      </c>
      <c r="B2840" s="2" t="s">
        <v>176</v>
      </c>
      <c r="C2840" s="2">
        <v>26</v>
      </c>
      <c r="D2840" s="2">
        <v>26</v>
      </c>
      <c r="E2840" s="2">
        <v>21</v>
      </c>
      <c r="F2840" s="2">
        <v>5</v>
      </c>
      <c r="G2840" s="2">
        <v>0</v>
      </c>
    </row>
    <row r="2841" spans="1:13" x14ac:dyDescent="0.25">
      <c r="A2841" s="2" t="s">
        <v>119</v>
      </c>
      <c r="B2841" s="2" t="s">
        <v>11</v>
      </c>
      <c r="C2841" s="2">
        <v>23</v>
      </c>
      <c r="D2841" s="2">
        <v>21</v>
      </c>
      <c r="E2841" s="2">
        <v>14</v>
      </c>
      <c r="F2841" s="2">
        <v>7</v>
      </c>
      <c r="G2841" s="2">
        <v>0</v>
      </c>
    </row>
    <row r="2842" spans="1:13" x14ac:dyDescent="0.25">
      <c r="A2842" s="2" t="s">
        <v>119</v>
      </c>
      <c r="B2842" s="2" t="s">
        <v>174</v>
      </c>
      <c r="C2842" s="2">
        <v>14</v>
      </c>
      <c r="D2842" s="2">
        <v>10</v>
      </c>
      <c r="E2842" s="2">
        <v>6</v>
      </c>
      <c r="F2842" s="2">
        <v>4</v>
      </c>
      <c r="G2842" s="2">
        <v>0</v>
      </c>
    </row>
    <row r="2843" spans="1:13" x14ac:dyDescent="0.25">
      <c r="A2843" s="2" t="s">
        <v>119</v>
      </c>
      <c r="B2843" s="2" t="s">
        <v>175</v>
      </c>
      <c r="C2843" s="2">
        <v>1</v>
      </c>
      <c r="D2843" s="2">
        <v>1</v>
      </c>
      <c r="E2843" s="2">
        <v>0</v>
      </c>
      <c r="F2843" s="2">
        <v>1</v>
      </c>
      <c r="G2843" s="2">
        <v>0</v>
      </c>
    </row>
    <row r="2844" spans="1:13" x14ac:dyDescent="0.25">
      <c r="A2844" s="2" t="s">
        <v>119</v>
      </c>
      <c r="B2844" s="2" t="s">
        <v>176</v>
      </c>
      <c r="C2844" s="2">
        <v>9</v>
      </c>
      <c r="D2844" s="2">
        <v>7</v>
      </c>
      <c r="E2844" s="2">
        <v>4</v>
      </c>
      <c r="F2844" s="2">
        <v>3</v>
      </c>
      <c r="G2844" s="2">
        <v>0</v>
      </c>
      <c r="I2844">
        <f>+SUM(C2772:C2844)</f>
        <v>1223</v>
      </c>
      <c r="J2844">
        <f t="shared" ref="J2844:M2844" si="0">+SUM(D2772:D2844)</f>
        <v>1194</v>
      </c>
      <c r="K2844">
        <f t="shared" si="0"/>
        <v>863</v>
      </c>
      <c r="L2844">
        <f t="shared" si="0"/>
        <v>331</v>
      </c>
      <c r="M2844">
        <f t="shared" si="0"/>
        <v>1</v>
      </c>
    </row>
    <row r="2845" spans="1:13" x14ac:dyDescent="0.25">
      <c r="A2845" s="2" t="s">
        <v>89</v>
      </c>
      <c r="B2845" s="2" t="s">
        <v>11</v>
      </c>
      <c r="C2845" s="2">
        <v>1</v>
      </c>
      <c r="D2845" s="2">
        <v>1</v>
      </c>
      <c r="E2845" s="2">
        <v>1</v>
      </c>
      <c r="F2845" s="2">
        <v>0</v>
      </c>
      <c r="G2845" s="2">
        <v>0</v>
      </c>
    </row>
    <row r="2846" spans="1:13" x14ac:dyDescent="0.25">
      <c r="A2846" s="2" t="s">
        <v>89</v>
      </c>
      <c r="B2846" s="2" t="s">
        <v>176</v>
      </c>
      <c r="C2846" s="2">
        <v>6</v>
      </c>
      <c r="D2846" s="2">
        <v>6</v>
      </c>
      <c r="E2846" s="2">
        <v>5</v>
      </c>
      <c r="F2846" s="2">
        <v>1</v>
      </c>
      <c r="G2846" s="2">
        <v>0</v>
      </c>
    </row>
    <row r="2847" spans="1:13" x14ac:dyDescent="0.25">
      <c r="A2847" s="2" t="s">
        <v>89</v>
      </c>
      <c r="B2847" s="2" t="s">
        <v>175</v>
      </c>
      <c r="C2847" s="2">
        <v>3</v>
      </c>
      <c r="D2847" s="2">
        <v>3</v>
      </c>
      <c r="E2847" s="2">
        <v>2</v>
      </c>
      <c r="F2847" s="2">
        <v>1</v>
      </c>
      <c r="G2847" s="2">
        <v>0</v>
      </c>
    </row>
    <row r="2848" spans="1:13" x14ac:dyDescent="0.25">
      <c r="A2848" s="2" t="s">
        <v>53</v>
      </c>
      <c r="B2848" s="2" t="s">
        <v>175</v>
      </c>
      <c r="C2848" s="2">
        <v>3</v>
      </c>
      <c r="D2848" s="2">
        <v>3</v>
      </c>
      <c r="E2848" s="2">
        <v>2</v>
      </c>
      <c r="F2848" s="2">
        <v>1</v>
      </c>
      <c r="G2848" s="2">
        <v>0</v>
      </c>
    </row>
    <row r="2849" spans="1:7" x14ac:dyDescent="0.25">
      <c r="A2849" s="2" t="s">
        <v>53</v>
      </c>
      <c r="B2849" s="2" t="s">
        <v>176</v>
      </c>
      <c r="C2849" s="2">
        <v>7</v>
      </c>
      <c r="D2849" s="2">
        <v>7</v>
      </c>
      <c r="E2849" s="2">
        <v>7</v>
      </c>
      <c r="F2849" s="2">
        <v>0</v>
      </c>
      <c r="G2849" s="2">
        <v>0</v>
      </c>
    </row>
    <row r="2850" spans="1:7" x14ac:dyDescent="0.25">
      <c r="A2850" s="2" t="s">
        <v>53</v>
      </c>
      <c r="B2850" s="2" t="s">
        <v>11</v>
      </c>
      <c r="C2850" s="2">
        <v>2</v>
      </c>
      <c r="D2850" s="2">
        <v>1</v>
      </c>
      <c r="E2850" s="2">
        <v>1</v>
      </c>
      <c r="F2850" s="2">
        <v>0</v>
      </c>
      <c r="G2850" s="2">
        <v>1</v>
      </c>
    </row>
    <row r="2851" spans="1:7" x14ac:dyDescent="0.25">
      <c r="A2851" s="2" t="s">
        <v>141</v>
      </c>
      <c r="B2851" s="2" t="s">
        <v>174</v>
      </c>
      <c r="C2851" s="2">
        <v>6</v>
      </c>
      <c r="D2851" s="2">
        <v>6</v>
      </c>
      <c r="E2851" s="2">
        <v>5</v>
      </c>
      <c r="F2851" s="2">
        <v>1</v>
      </c>
      <c r="G2851" s="2">
        <v>0</v>
      </c>
    </row>
    <row r="2852" spans="1:7" x14ac:dyDescent="0.25">
      <c r="A2852" s="2" t="s">
        <v>141</v>
      </c>
      <c r="B2852" s="2" t="s">
        <v>176</v>
      </c>
      <c r="C2852" s="2">
        <v>6</v>
      </c>
      <c r="D2852" s="2">
        <v>6</v>
      </c>
      <c r="E2852" s="2">
        <v>5</v>
      </c>
      <c r="F2852" s="2">
        <v>1</v>
      </c>
      <c r="G2852" s="2">
        <v>0</v>
      </c>
    </row>
    <row r="2853" spans="1:7" x14ac:dyDescent="0.25">
      <c r="A2853" s="2" t="s">
        <v>141</v>
      </c>
      <c r="B2853" s="2" t="s">
        <v>175</v>
      </c>
      <c r="C2853" s="2">
        <v>2</v>
      </c>
      <c r="D2853" s="2">
        <v>2</v>
      </c>
      <c r="E2853" s="2">
        <v>2</v>
      </c>
      <c r="F2853" s="2">
        <v>0</v>
      </c>
      <c r="G2853" s="2">
        <v>0</v>
      </c>
    </row>
    <row r="2854" spans="1:7" x14ac:dyDescent="0.25">
      <c r="A2854" s="2" t="s">
        <v>141</v>
      </c>
      <c r="B2854" s="2" t="s">
        <v>11</v>
      </c>
      <c r="C2854" s="2">
        <v>9</v>
      </c>
      <c r="D2854" s="2">
        <v>9</v>
      </c>
      <c r="E2854" s="2">
        <v>8</v>
      </c>
      <c r="F2854" s="2">
        <v>1</v>
      </c>
      <c r="G2854" s="2">
        <v>0</v>
      </c>
    </row>
    <row r="2855" spans="1:7" x14ac:dyDescent="0.25">
      <c r="A2855" s="2" t="s">
        <v>128</v>
      </c>
      <c r="B2855" s="2" t="s">
        <v>3</v>
      </c>
      <c r="C2855" s="2">
        <v>1</v>
      </c>
      <c r="D2855" s="2">
        <v>1</v>
      </c>
      <c r="E2855" s="2">
        <v>0</v>
      </c>
      <c r="F2855" s="2">
        <v>1</v>
      </c>
      <c r="G2855" s="2">
        <v>0</v>
      </c>
    </row>
    <row r="2856" spans="1:7" x14ac:dyDescent="0.25">
      <c r="A2856" s="2" t="s">
        <v>128</v>
      </c>
      <c r="B2856" s="2" t="s">
        <v>174</v>
      </c>
      <c r="C2856" s="2">
        <v>4</v>
      </c>
      <c r="D2856" s="2">
        <v>4</v>
      </c>
      <c r="E2856" s="2">
        <v>3</v>
      </c>
      <c r="F2856" s="2">
        <v>1</v>
      </c>
      <c r="G2856" s="2">
        <v>0</v>
      </c>
    </row>
    <row r="2857" spans="1:7" x14ac:dyDescent="0.25">
      <c r="A2857" s="2" t="s">
        <v>128</v>
      </c>
      <c r="B2857" s="2" t="s">
        <v>175</v>
      </c>
      <c r="C2857" s="2">
        <v>5</v>
      </c>
      <c r="D2857" s="2">
        <v>5</v>
      </c>
      <c r="E2857" s="2">
        <v>4</v>
      </c>
      <c r="F2857" s="2">
        <v>1</v>
      </c>
      <c r="G2857" s="2">
        <v>0</v>
      </c>
    </row>
    <row r="2858" spans="1:7" x14ac:dyDescent="0.25">
      <c r="A2858" s="2" t="s">
        <v>128</v>
      </c>
      <c r="B2858" s="2" t="s">
        <v>176</v>
      </c>
      <c r="C2858" s="2">
        <v>14</v>
      </c>
      <c r="D2858" s="2">
        <v>14</v>
      </c>
      <c r="E2858" s="2">
        <v>11</v>
      </c>
      <c r="F2858" s="2">
        <v>3</v>
      </c>
      <c r="G2858" s="2">
        <v>0</v>
      </c>
    </row>
    <row r="2859" spans="1:7" x14ac:dyDescent="0.25">
      <c r="A2859" s="2" t="s">
        <v>128</v>
      </c>
      <c r="B2859" s="2" t="s">
        <v>11</v>
      </c>
      <c r="C2859" s="2">
        <v>8</v>
      </c>
      <c r="D2859" s="2">
        <v>8</v>
      </c>
      <c r="E2859" s="2">
        <v>8</v>
      </c>
      <c r="F2859" s="2">
        <v>0</v>
      </c>
      <c r="G2859" s="2">
        <v>0</v>
      </c>
    </row>
    <row r="2860" spans="1:7" x14ac:dyDescent="0.25">
      <c r="A2860" s="2" t="s">
        <v>73</v>
      </c>
      <c r="B2860" s="2" t="s">
        <v>11</v>
      </c>
      <c r="C2860" s="2">
        <v>6</v>
      </c>
      <c r="D2860" s="2">
        <v>6</v>
      </c>
      <c r="E2860" s="2">
        <v>6</v>
      </c>
      <c r="F2860" s="2">
        <v>0</v>
      </c>
      <c r="G2860" s="2">
        <v>0</v>
      </c>
    </row>
    <row r="2861" spans="1:7" x14ac:dyDescent="0.25">
      <c r="A2861" s="2" t="s">
        <v>73</v>
      </c>
      <c r="B2861" s="2" t="s">
        <v>176</v>
      </c>
      <c r="C2861" s="2">
        <v>7</v>
      </c>
      <c r="D2861" s="2">
        <v>7</v>
      </c>
      <c r="E2861" s="2">
        <v>7</v>
      </c>
      <c r="F2861" s="2">
        <v>0</v>
      </c>
      <c r="G2861" s="2">
        <v>0</v>
      </c>
    </row>
    <row r="2862" spans="1:7" x14ac:dyDescent="0.25">
      <c r="A2862" s="2" t="s">
        <v>73</v>
      </c>
      <c r="B2862" s="2" t="s">
        <v>174</v>
      </c>
      <c r="C2862" s="2">
        <v>5</v>
      </c>
      <c r="D2862" s="2">
        <v>5</v>
      </c>
      <c r="E2862" s="2">
        <v>4</v>
      </c>
      <c r="F2862" s="2">
        <v>1</v>
      </c>
      <c r="G2862" s="2">
        <v>0</v>
      </c>
    </row>
    <row r="2863" spans="1:7" x14ac:dyDescent="0.25">
      <c r="A2863" s="2" t="s">
        <v>73</v>
      </c>
      <c r="B2863" s="2" t="s">
        <v>175</v>
      </c>
      <c r="C2863" s="2">
        <v>18</v>
      </c>
      <c r="D2863" s="2">
        <v>18</v>
      </c>
      <c r="E2863" s="2">
        <v>14</v>
      </c>
      <c r="F2863" s="2">
        <v>4</v>
      </c>
      <c r="G2863" s="2">
        <v>0</v>
      </c>
    </row>
    <row r="2864" spans="1:7" x14ac:dyDescent="0.25">
      <c r="A2864" s="2" t="s">
        <v>158</v>
      </c>
      <c r="B2864" s="2" t="s">
        <v>11</v>
      </c>
      <c r="C2864" s="2">
        <v>5</v>
      </c>
      <c r="D2864" s="2">
        <v>5</v>
      </c>
      <c r="E2864" s="2">
        <v>3</v>
      </c>
      <c r="F2864" s="2">
        <v>2</v>
      </c>
      <c r="G2864" s="2">
        <v>0</v>
      </c>
    </row>
    <row r="2865" spans="1:7" x14ac:dyDescent="0.25">
      <c r="A2865" s="2" t="s">
        <v>158</v>
      </c>
      <c r="B2865" s="2" t="s">
        <v>174</v>
      </c>
      <c r="C2865" s="2">
        <v>7</v>
      </c>
      <c r="D2865" s="2">
        <v>7</v>
      </c>
      <c r="E2865" s="2">
        <v>6</v>
      </c>
      <c r="F2865" s="2">
        <v>1</v>
      </c>
      <c r="G2865" s="2">
        <v>0</v>
      </c>
    </row>
    <row r="2866" spans="1:7" x14ac:dyDescent="0.25">
      <c r="A2866" s="2" t="s">
        <v>158</v>
      </c>
      <c r="B2866" s="2" t="s">
        <v>176</v>
      </c>
      <c r="C2866" s="2">
        <v>12</v>
      </c>
      <c r="D2866" s="2">
        <v>12</v>
      </c>
      <c r="E2866" s="2">
        <v>12</v>
      </c>
      <c r="F2866" s="2">
        <v>0</v>
      </c>
      <c r="G2866" s="2">
        <v>0</v>
      </c>
    </row>
    <row r="2867" spans="1:7" x14ac:dyDescent="0.25">
      <c r="A2867" s="2" t="s">
        <v>158</v>
      </c>
      <c r="B2867" s="2" t="s">
        <v>175</v>
      </c>
      <c r="C2867" s="2">
        <v>43</v>
      </c>
      <c r="D2867" s="2">
        <v>40</v>
      </c>
      <c r="E2867" s="2">
        <v>31</v>
      </c>
      <c r="F2867" s="2">
        <v>9</v>
      </c>
      <c r="G2867" s="2">
        <v>2</v>
      </c>
    </row>
    <row r="2868" spans="1:7" x14ac:dyDescent="0.25">
      <c r="A2868" s="2" t="s">
        <v>158</v>
      </c>
      <c r="B2868" s="2" t="s">
        <v>3</v>
      </c>
      <c r="C2868" s="2">
        <v>2</v>
      </c>
      <c r="D2868" s="2">
        <v>0</v>
      </c>
      <c r="E2868" s="2">
        <v>0</v>
      </c>
      <c r="F2868" s="2">
        <v>0</v>
      </c>
      <c r="G2868" s="2">
        <v>0</v>
      </c>
    </row>
    <row r="2869" spans="1:7" x14ac:dyDescent="0.25">
      <c r="A2869" s="2" t="s">
        <v>67</v>
      </c>
      <c r="B2869" s="2" t="s">
        <v>176</v>
      </c>
      <c r="C2869" s="2">
        <v>3</v>
      </c>
      <c r="D2869" s="2">
        <v>3</v>
      </c>
      <c r="E2869" s="2">
        <v>2</v>
      </c>
      <c r="F2869" s="2">
        <v>1</v>
      </c>
      <c r="G2869" s="2">
        <v>0</v>
      </c>
    </row>
    <row r="2870" spans="1:7" x14ac:dyDescent="0.25">
      <c r="A2870" s="2" t="s">
        <v>67</v>
      </c>
      <c r="B2870" s="2" t="s">
        <v>175</v>
      </c>
      <c r="C2870" s="2">
        <v>7</v>
      </c>
      <c r="D2870" s="2">
        <v>5</v>
      </c>
      <c r="E2870" s="2">
        <v>5</v>
      </c>
      <c r="F2870" s="2">
        <v>0</v>
      </c>
      <c r="G2870" s="2">
        <v>0</v>
      </c>
    </row>
    <row r="2871" spans="1:7" x14ac:dyDescent="0.25">
      <c r="A2871" s="2" t="s">
        <v>67</v>
      </c>
      <c r="B2871" s="2" t="s">
        <v>11</v>
      </c>
      <c r="C2871" s="2">
        <v>3</v>
      </c>
      <c r="D2871" s="2">
        <v>3</v>
      </c>
      <c r="E2871" s="2">
        <v>3</v>
      </c>
      <c r="F2871" s="2">
        <v>0</v>
      </c>
      <c r="G2871" s="2">
        <v>0</v>
      </c>
    </row>
    <row r="2872" spans="1:7" x14ac:dyDescent="0.25">
      <c r="A2872" s="2" t="s">
        <v>183</v>
      </c>
      <c r="B2872" s="2" t="s">
        <v>3</v>
      </c>
      <c r="C2872" s="2">
        <v>1</v>
      </c>
      <c r="D2872" s="2">
        <v>1</v>
      </c>
      <c r="E2872" s="2">
        <v>1</v>
      </c>
      <c r="F2872" s="2">
        <v>0</v>
      </c>
      <c r="G2872" s="2">
        <v>0</v>
      </c>
    </row>
    <row r="2873" spans="1:7" x14ac:dyDescent="0.25">
      <c r="A2873" s="2" t="s">
        <v>183</v>
      </c>
      <c r="B2873" s="2" t="s">
        <v>174</v>
      </c>
      <c r="C2873" s="2">
        <v>1</v>
      </c>
      <c r="D2873" s="2">
        <v>1</v>
      </c>
      <c r="E2873" s="2">
        <v>1</v>
      </c>
      <c r="F2873" s="2">
        <v>0</v>
      </c>
      <c r="G2873" s="2">
        <v>0</v>
      </c>
    </row>
    <row r="2874" spans="1:7" x14ac:dyDescent="0.25">
      <c r="A2874" s="2" t="s">
        <v>183</v>
      </c>
      <c r="B2874" s="2" t="s">
        <v>175</v>
      </c>
      <c r="C2874" s="2">
        <v>5</v>
      </c>
      <c r="D2874" s="2">
        <v>5</v>
      </c>
      <c r="E2874" s="2">
        <v>3</v>
      </c>
      <c r="F2874" s="2">
        <v>2</v>
      </c>
      <c r="G2874" s="2">
        <v>0</v>
      </c>
    </row>
    <row r="2875" spans="1:7" x14ac:dyDescent="0.25">
      <c r="A2875" s="2" t="s">
        <v>183</v>
      </c>
      <c r="B2875" s="2" t="s">
        <v>176</v>
      </c>
      <c r="C2875" s="2">
        <v>4</v>
      </c>
      <c r="D2875" s="2">
        <v>4</v>
      </c>
      <c r="E2875" s="2">
        <v>3</v>
      </c>
      <c r="F2875" s="2">
        <v>1</v>
      </c>
      <c r="G2875" s="2">
        <v>0</v>
      </c>
    </row>
    <row r="2876" spans="1:7" x14ac:dyDescent="0.25">
      <c r="A2876" s="2" t="s">
        <v>90</v>
      </c>
      <c r="B2876" s="2" t="s">
        <v>175</v>
      </c>
      <c r="C2876" s="2">
        <v>4</v>
      </c>
      <c r="D2876" s="2">
        <v>4</v>
      </c>
      <c r="E2876" s="2">
        <v>4</v>
      </c>
      <c r="F2876" s="2">
        <v>0</v>
      </c>
      <c r="G2876" s="2">
        <v>0</v>
      </c>
    </row>
    <row r="2877" spans="1:7" x14ac:dyDescent="0.25">
      <c r="A2877" s="2" t="s">
        <v>90</v>
      </c>
      <c r="B2877" s="2" t="s">
        <v>176</v>
      </c>
      <c r="C2877" s="2">
        <v>1</v>
      </c>
      <c r="D2877" s="2">
        <v>1</v>
      </c>
      <c r="E2877" s="2">
        <v>1</v>
      </c>
      <c r="F2877" s="2">
        <v>0</v>
      </c>
      <c r="G2877" s="2">
        <v>0</v>
      </c>
    </row>
    <row r="2878" spans="1:7" x14ac:dyDescent="0.25">
      <c r="A2878" s="2" t="s">
        <v>90</v>
      </c>
      <c r="B2878" s="2" t="s">
        <v>174</v>
      </c>
      <c r="C2878" s="2">
        <v>5</v>
      </c>
      <c r="D2878" s="2">
        <v>4</v>
      </c>
      <c r="E2878" s="2">
        <v>3</v>
      </c>
      <c r="F2878" s="2">
        <v>1</v>
      </c>
      <c r="G2878" s="2">
        <v>0</v>
      </c>
    </row>
    <row r="2879" spans="1:7" x14ac:dyDescent="0.25">
      <c r="A2879" s="2" t="s">
        <v>54</v>
      </c>
      <c r="B2879" s="2" t="s">
        <v>175</v>
      </c>
      <c r="C2879" s="2">
        <v>4</v>
      </c>
      <c r="D2879" s="2">
        <v>4</v>
      </c>
      <c r="E2879" s="2">
        <v>3</v>
      </c>
      <c r="F2879" s="2">
        <v>1</v>
      </c>
      <c r="G2879" s="2">
        <v>0</v>
      </c>
    </row>
    <row r="2880" spans="1:7" x14ac:dyDescent="0.25">
      <c r="A2880" s="2" t="s">
        <v>54</v>
      </c>
      <c r="B2880" s="2" t="s">
        <v>3</v>
      </c>
      <c r="C2880" s="2">
        <v>1</v>
      </c>
      <c r="D2880" s="2">
        <v>1</v>
      </c>
      <c r="E2880" s="2">
        <v>0</v>
      </c>
      <c r="F2880" s="2">
        <v>1</v>
      </c>
      <c r="G2880" s="2">
        <v>0</v>
      </c>
    </row>
    <row r="2881" spans="1:7" x14ac:dyDescent="0.25">
      <c r="A2881" s="2" t="s">
        <v>54</v>
      </c>
      <c r="B2881" s="2" t="s">
        <v>174</v>
      </c>
      <c r="C2881" s="2">
        <v>3</v>
      </c>
      <c r="D2881" s="2">
        <v>3</v>
      </c>
      <c r="E2881" s="2">
        <v>3</v>
      </c>
      <c r="F2881" s="2">
        <v>0</v>
      </c>
      <c r="G2881" s="2">
        <v>0</v>
      </c>
    </row>
    <row r="2882" spans="1:7" x14ac:dyDescent="0.25">
      <c r="A2882" s="2" t="s">
        <v>63</v>
      </c>
      <c r="B2882" s="2" t="s">
        <v>3</v>
      </c>
      <c r="C2882" s="2">
        <v>2</v>
      </c>
      <c r="D2882" s="2">
        <v>2</v>
      </c>
      <c r="E2882" s="2">
        <v>0</v>
      </c>
      <c r="F2882" s="2">
        <v>2</v>
      </c>
      <c r="G2882" s="2">
        <v>0</v>
      </c>
    </row>
    <row r="2883" spans="1:7" x14ac:dyDescent="0.25">
      <c r="A2883" s="2" t="s">
        <v>63</v>
      </c>
      <c r="B2883" s="2" t="s">
        <v>174</v>
      </c>
      <c r="C2883" s="2">
        <v>2</v>
      </c>
      <c r="D2883" s="2">
        <v>2</v>
      </c>
      <c r="E2883" s="2">
        <v>2</v>
      </c>
      <c r="F2883" s="2">
        <v>0</v>
      </c>
      <c r="G2883" s="2">
        <v>0</v>
      </c>
    </row>
    <row r="2884" spans="1:7" x14ac:dyDescent="0.25">
      <c r="A2884" s="2" t="s">
        <v>63</v>
      </c>
      <c r="B2884" s="2" t="s">
        <v>175</v>
      </c>
      <c r="C2884" s="2">
        <v>1</v>
      </c>
      <c r="D2884" s="2">
        <v>1</v>
      </c>
      <c r="E2884" s="2">
        <v>1</v>
      </c>
      <c r="F2884" s="2">
        <v>0</v>
      </c>
      <c r="G2884" s="2">
        <v>0</v>
      </c>
    </row>
    <row r="2885" spans="1:7" x14ac:dyDescent="0.25">
      <c r="A2885" s="2" t="s">
        <v>108</v>
      </c>
      <c r="B2885" s="2" t="s">
        <v>11</v>
      </c>
      <c r="C2885" s="2">
        <v>5</v>
      </c>
      <c r="D2885" s="2">
        <v>4</v>
      </c>
      <c r="E2885" s="2">
        <v>4</v>
      </c>
      <c r="F2885" s="2">
        <v>0</v>
      </c>
      <c r="G2885" s="2">
        <v>0</v>
      </c>
    </row>
    <row r="2886" spans="1:7" x14ac:dyDescent="0.25">
      <c r="A2886" s="2" t="s">
        <v>108</v>
      </c>
      <c r="B2886" s="2" t="s">
        <v>3</v>
      </c>
      <c r="C2886" s="2">
        <v>1</v>
      </c>
      <c r="D2886" s="2">
        <v>0</v>
      </c>
      <c r="E2886" s="2">
        <v>0</v>
      </c>
      <c r="F2886" s="2">
        <v>0</v>
      </c>
      <c r="G2886" s="2">
        <v>0</v>
      </c>
    </row>
    <row r="2887" spans="1:7" x14ac:dyDescent="0.25">
      <c r="A2887" s="2" t="s">
        <v>108</v>
      </c>
      <c r="B2887" s="2" t="s">
        <v>174</v>
      </c>
      <c r="C2887" s="2">
        <v>1</v>
      </c>
      <c r="D2887" s="2">
        <v>1</v>
      </c>
      <c r="E2887" s="2">
        <v>1</v>
      </c>
      <c r="F2887" s="2">
        <v>0</v>
      </c>
      <c r="G2887" s="2">
        <v>0</v>
      </c>
    </row>
    <row r="2888" spans="1:7" x14ac:dyDescent="0.25">
      <c r="A2888" s="2" t="s">
        <v>108</v>
      </c>
      <c r="B2888" s="2" t="s">
        <v>175</v>
      </c>
      <c r="C2888" s="2">
        <v>9</v>
      </c>
      <c r="D2888" s="2">
        <v>9</v>
      </c>
      <c r="E2888" s="2">
        <v>9</v>
      </c>
      <c r="F2888" s="2">
        <v>0</v>
      </c>
      <c r="G2888" s="2">
        <v>0</v>
      </c>
    </row>
    <row r="2889" spans="1:7" x14ac:dyDescent="0.25">
      <c r="A2889" s="2" t="s">
        <v>108</v>
      </c>
      <c r="B2889" s="2" t="s">
        <v>176</v>
      </c>
      <c r="C2889" s="2">
        <v>4</v>
      </c>
      <c r="D2889" s="2">
        <v>4</v>
      </c>
      <c r="E2889" s="2">
        <v>4</v>
      </c>
      <c r="F2889" s="2">
        <v>0</v>
      </c>
      <c r="G2889" s="2">
        <v>0</v>
      </c>
    </row>
    <row r="2890" spans="1:7" x14ac:dyDescent="0.25">
      <c r="A2890" s="2" t="s">
        <v>91</v>
      </c>
      <c r="B2890" s="2" t="s">
        <v>175</v>
      </c>
      <c r="C2890" s="2">
        <v>13</v>
      </c>
      <c r="D2890" s="2">
        <v>12</v>
      </c>
      <c r="E2890" s="2">
        <v>10</v>
      </c>
      <c r="F2890" s="2">
        <v>2</v>
      </c>
      <c r="G2890" s="2">
        <v>0</v>
      </c>
    </row>
    <row r="2891" spans="1:7" x14ac:dyDescent="0.25">
      <c r="A2891" s="2" t="s">
        <v>91</v>
      </c>
      <c r="B2891" s="2" t="s">
        <v>174</v>
      </c>
      <c r="C2891" s="2">
        <v>1</v>
      </c>
      <c r="D2891" s="2">
        <v>1</v>
      </c>
      <c r="E2891" s="2">
        <v>1</v>
      </c>
      <c r="F2891" s="2">
        <v>0</v>
      </c>
      <c r="G2891" s="2">
        <v>0</v>
      </c>
    </row>
    <row r="2892" spans="1:7" x14ac:dyDescent="0.25">
      <c r="A2892" s="2" t="s">
        <v>91</v>
      </c>
      <c r="B2892" s="2" t="s">
        <v>176</v>
      </c>
      <c r="C2892" s="2">
        <v>4</v>
      </c>
      <c r="D2892" s="2">
        <v>4</v>
      </c>
      <c r="E2892" s="2">
        <v>3</v>
      </c>
      <c r="F2892" s="2">
        <v>1</v>
      </c>
      <c r="G2892" s="2">
        <v>0</v>
      </c>
    </row>
    <row r="2893" spans="1:7" x14ac:dyDescent="0.25">
      <c r="A2893" s="2" t="s">
        <v>110</v>
      </c>
      <c r="B2893" s="2" t="s">
        <v>3</v>
      </c>
      <c r="C2893" s="2">
        <v>1</v>
      </c>
      <c r="D2893" s="2">
        <v>1</v>
      </c>
      <c r="E2893" s="2">
        <v>0</v>
      </c>
      <c r="F2893" s="2">
        <v>1</v>
      </c>
      <c r="G2893" s="2">
        <v>0</v>
      </c>
    </row>
    <row r="2894" spans="1:7" x14ac:dyDescent="0.25">
      <c r="A2894" s="2" t="s">
        <v>110</v>
      </c>
      <c r="B2894" s="2" t="s">
        <v>176</v>
      </c>
      <c r="C2894" s="2">
        <v>8</v>
      </c>
      <c r="D2894" s="2">
        <v>8</v>
      </c>
      <c r="E2894" s="2">
        <v>7</v>
      </c>
      <c r="F2894" s="2">
        <v>1</v>
      </c>
      <c r="G2894" s="2">
        <v>0</v>
      </c>
    </row>
    <row r="2895" spans="1:7" x14ac:dyDescent="0.25">
      <c r="A2895" s="2" t="s">
        <v>110</v>
      </c>
      <c r="B2895" s="2" t="s">
        <v>11</v>
      </c>
      <c r="C2895" s="2">
        <v>3</v>
      </c>
      <c r="D2895" s="2">
        <v>3</v>
      </c>
      <c r="E2895" s="2">
        <v>3</v>
      </c>
      <c r="F2895" s="2">
        <v>0</v>
      </c>
      <c r="G2895" s="2">
        <v>0</v>
      </c>
    </row>
    <row r="2896" spans="1:7" x14ac:dyDescent="0.25">
      <c r="A2896" s="2" t="s">
        <v>110</v>
      </c>
      <c r="B2896" s="2" t="s">
        <v>174</v>
      </c>
      <c r="C2896" s="2">
        <v>6</v>
      </c>
      <c r="D2896" s="2">
        <v>6</v>
      </c>
      <c r="E2896" s="2">
        <v>5</v>
      </c>
      <c r="F2896" s="2">
        <v>1</v>
      </c>
      <c r="G2896" s="2">
        <v>0</v>
      </c>
    </row>
    <row r="2897" spans="1:7" x14ac:dyDescent="0.25">
      <c r="A2897" s="2" t="s">
        <v>110</v>
      </c>
      <c r="B2897" s="2" t="s">
        <v>175</v>
      </c>
      <c r="C2897" s="2">
        <v>8</v>
      </c>
      <c r="D2897" s="2">
        <v>8</v>
      </c>
      <c r="E2897" s="2">
        <v>8</v>
      </c>
      <c r="F2897" s="2">
        <v>0</v>
      </c>
      <c r="G2897" s="2">
        <v>0</v>
      </c>
    </row>
    <row r="2898" spans="1:7" x14ac:dyDescent="0.25">
      <c r="A2898" s="2" t="s">
        <v>99</v>
      </c>
      <c r="B2898" s="2" t="s">
        <v>176</v>
      </c>
      <c r="C2898" s="2">
        <v>2</v>
      </c>
      <c r="D2898" s="2">
        <v>1</v>
      </c>
      <c r="E2898" s="2">
        <v>1</v>
      </c>
      <c r="F2898" s="2">
        <v>0</v>
      </c>
      <c r="G2898" s="2">
        <v>0</v>
      </c>
    </row>
    <row r="2899" spans="1:7" x14ac:dyDescent="0.25">
      <c r="A2899" s="2" t="s">
        <v>99</v>
      </c>
      <c r="B2899" s="2" t="s">
        <v>174</v>
      </c>
      <c r="C2899" s="2">
        <v>2</v>
      </c>
      <c r="D2899" s="2">
        <v>2</v>
      </c>
      <c r="E2899" s="2">
        <v>2</v>
      </c>
      <c r="F2899" s="2">
        <v>0</v>
      </c>
      <c r="G2899" s="2">
        <v>0</v>
      </c>
    </row>
    <row r="2900" spans="1:7" x14ac:dyDescent="0.25">
      <c r="A2900" s="2" t="s">
        <v>99</v>
      </c>
      <c r="B2900" s="2" t="s">
        <v>175</v>
      </c>
      <c r="C2900" s="2">
        <v>5</v>
      </c>
      <c r="D2900" s="2">
        <v>3</v>
      </c>
      <c r="E2900" s="2">
        <v>1</v>
      </c>
      <c r="F2900" s="2">
        <v>2</v>
      </c>
      <c r="G2900" s="2">
        <v>0</v>
      </c>
    </row>
    <row r="2901" spans="1:7" x14ac:dyDescent="0.25">
      <c r="A2901" s="2" t="s">
        <v>50</v>
      </c>
      <c r="B2901" s="2" t="s">
        <v>3</v>
      </c>
      <c r="C2901" s="2">
        <v>1</v>
      </c>
      <c r="D2901" s="2">
        <v>1</v>
      </c>
      <c r="E2901" s="2">
        <v>1</v>
      </c>
      <c r="F2901" s="2">
        <v>0</v>
      </c>
      <c r="G2901" s="2">
        <v>0</v>
      </c>
    </row>
    <row r="2902" spans="1:7" x14ac:dyDescent="0.25">
      <c r="A2902" s="2" t="s">
        <v>50</v>
      </c>
      <c r="B2902" s="2" t="s">
        <v>174</v>
      </c>
      <c r="C2902" s="2">
        <v>6</v>
      </c>
      <c r="D2902" s="2">
        <v>6</v>
      </c>
      <c r="E2902" s="2">
        <v>6</v>
      </c>
      <c r="F2902" s="2">
        <v>0</v>
      </c>
      <c r="G2902" s="2">
        <v>0</v>
      </c>
    </row>
    <row r="2903" spans="1:7" x14ac:dyDescent="0.25">
      <c r="A2903" s="2" t="s">
        <v>50</v>
      </c>
      <c r="B2903" s="2" t="s">
        <v>175</v>
      </c>
      <c r="C2903" s="2">
        <v>7</v>
      </c>
      <c r="D2903" s="2">
        <v>7</v>
      </c>
      <c r="E2903" s="2">
        <v>6</v>
      </c>
      <c r="F2903" s="2">
        <v>1</v>
      </c>
      <c r="G2903" s="2">
        <v>0</v>
      </c>
    </row>
    <row r="2904" spans="1:7" x14ac:dyDescent="0.25">
      <c r="A2904" s="2" t="s">
        <v>50</v>
      </c>
      <c r="B2904" s="2" t="s">
        <v>11</v>
      </c>
      <c r="C2904" s="2">
        <v>3</v>
      </c>
      <c r="D2904" s="2">
        <v>3</v>
      </c>
      <c r="E2904" s="2">
        <v>3</v>
      </c>
      <c r="F2904" s="2">
        <v>0</v>
      </c>
      <c r="G2904" s="2">
        <v>0</v>
      </c>
    </row>
    <row r="2905" spans="1:7" x14ac:dyDescent="0.25">
      <c r="A2905" s="2" t="s">
        <v>50</v>
      </c>
      <c r="B2905" s="2" t="s">
        <v>176</v>
      </c>
      <c r="C2905" s="2">
        <v>2</v>
      </c>
      <c r="D2905" s="2">
        <v>2</v>
      </c>
      <c r="E2905" s="2">
        <v>2</v>
      </c>
      <c r="F2905" s="2">
        <v>0</v>
      </c>
      <c r="G2905" s="2">
        <v>0</v>
      </c>
    </row>
    <row r="2906" spans="1:7" x14ac:dyDescent="0.25">
      <c r="A2906" s="2" t="s">
        <v>64</v>
      </c>
      <c r="B2906" s="2" t="s">
        <v>176</v>
      </c>
      <c r="C2906" s="2">
        <v>7</v>
      </c>
      <c r="D2906" s="2">
        <v>7</v>
      </c>
      <c r="E2906" s="2">
        <v>6</v>
      </c>
      <c r="F2906" s="2">
        <v>1</v>
      </c>
      <c r="G2906" s="2">
        <v>0</v>
      </c>
    </row>
    <row r="2907" spans="1:7" x14ac:dyDescent="0.25">
      <c r="A2907" s="2" t="s">
        <v>64</v>
      </c>
      <c r="B2907" s="2" t="s">
        <v>174</v>
      </c>
      <c r="C2907" s="2">
        <v>15</v>
      </c>
      <c r="D2907" s="2">
        <v>15</v>
      </c>
      <c r="E2907" s="2">
        <v>11</v>
      </c>
      <c r="F2907" s="2">
        <v>4</v>
      </c>
      <c r="G2907" s="2">
        <v>0</v>
      </c>
    </row>
    <row r="2908" spans="1:7" x14ac:dyDescent="0.25">
      <c r="A2908" s="2" t="s">
        <v>64</v>
      </c>
      <c r="B2908" s="2" t="s">
        <v>175</v>
      </c>
      <c r="C2908" s="2">
        <v>9</v>
      </c>
      <c r="D2908" s="2">
        <v>9</v>
      </c>
      <c r="E2908" s="2">
        <v>9</v>
      </c>
      <c r="F2908" s="2">
        <v>0</v>
      </c>
      <c r="G2908" s="2">
        <v>0</v>
      </c>
    </row>
    <row r="2909" spans="1:7" x14ac:dyDescent="0.25">
      <c r="A2909" s="2" t="s">
        <v>64</v>
      </c>
      <c r="B2909" s="2" t="s">
        <v>11</v>
      </c>
      <c r="C2909" s="2">
        <v>5</v>
      </c>
      <c r="D2909" s="2">
        <v>5</v>
      </c>
      <c r="E2909" s="2">
        <v>5</v>
      </c>
      <c r="F2909" s="2">
        <v>0</v>
      </c>
      <c r="G2909" s="2">
        <v>0</v>
      </c>
    </row>
    <row r="2910" spans="1:7" x14ac:dyDescent="0.25">
      <c r="A2910" s="2" t="s">
        <v>85</v>
      </c>
      <c r="B2910" s="2" t="s">
        <v>176</v>
      </c>
      <c r="C2910" s="2">
        <v>5</v>
      </c>
      <c r="D2910" s="2">
        <v>5</v>
      </c>
      <c r="E2910" s="2">
        <v>5</v>
      </c>
      <c r="F2910" s="2">
        <v>0</v>
      </c>
      <c r="G2910" s="2">
        <v>0</v>
      </c>
    </row>
    <row r="2911" spans="1:7" x14ac:dyDescent="0.25">
      <c r="A2911" s="2" t="s">
        <v>85</v>
      </c>
      <c r="B2911" s="2" t="s">
        <v>3</v>
      </c>
      <c r="C2911" s="2">
        <v>1</v>
      </c>
      <c r="D2911" s="2">
        <v>0</v>
      </c>
      <c r="E2911" s="2">
        <v>0</v>
      </c>
      <c r="F2911" s="2">
        <v>0</v>
      </c>
      <c r="G2911" s="2">
        <v>0</v>
      </c>
    </row>
    <row r="2912" spans="1:7" x14ac:dyDescent="0.25">
      <c r="A2912" s="2" t="s">
        <v>85</v>
      </c>
      <c r="B2912" s="2" t="s">
        <v>174</v>
      </c>
      <c r="C2912" s="2">
        <v>5</v>
      </c>
      <c r="D2912" s="2">
        <v>5</v>
      </c>
      <c r="E2912" s="2">
        <v>5</v>
      </c>
      <c r="F2912" s="2">
        <v>0</v>
      </c>
      <c r="G2912" s="2">
        <v>0</v>
      </c>
    </row>
    <row r="2913" spans="1:7" x14ac:dyDescent="0.25">
      <c r="A2913" s="2" t="s">
        <v>85</v>
      </c>
      <c r="B2913" s="2" t="s">
        <v>175</v>
      </c>
      <c r="C2913" s="2">
        <v>10</v>
      </c>
      <c r="D2913" s="2">
        <v>10</v>
      </c>
      <c r="E2913" s="2">
        <v>9</v>
      </c>
      <c r="F2913" s="2">
        <v>1</v>
      </c>
      <c r="G2913" s="2">
        <v>0</v>
      </c>
    </row>
    <row r="2914" spans="1:7" x14ac:dyDescent="0.25">
      <c r="A2914" s="2" t="s">
        <v>65</v>
      </c>
      <c r="B2914" s="2" t="s">
        <v>11</v>
      </c>
      <c r="C2914" s="2">
        <v>1</v>
      </c>
      <c r="D2914" s="2">
        <v>1</v>
      </c>
      <c r="E2914" s="2">
        <v>1</v>
      </c>
      <c r="F2914" s="2">
        <v>0</v>
      </c>
      <c r="G2914" s="2">
        <v>0</v>
      </c>
    </row>
    <row r="2915" spans="1:7" x14ac:dyDescent="0.25">
      <c r="A2915" s="2" t="s">
        <v>65</v>
      </c>
      <c r="B2915" s="2" t="s">
        <v>176</v>
      </c>
      <c r="C2915" s="2">
        <v>2</v>
      </c>
      <c r="D2915" s="2">
        <v>2</v>
      </c>
      <c r="E2915" s="2">
        <v>1</v>
      </c>
      <c r="F2915" s="2">
        <v>1</v>
      </c>
      <c r="G2915" s="2">
        <v>0</v>
      </c>
    </row>
    <row r="2916" spans="1:7" x14ac:dyDescent="0.25">
      <c r="A2916" s="2" t="s">
        <v>65</v>
      </c>
      <c r="B2916" s="2" t="s">
        <v>175</v>
      </c>
      <c r="C2916" s="2">
        <v>5</v>
      </c>
      <c r="D2916" s="2">
        <v>4</v>
      </c>
      <c r="E2916" s="2">
        <v>3</v>
      </c>
      <c r="F2916" s="2">
        <v>1</v>
      </c>
      <c r="G2916" s="2">
        <v>0</v>
      </c>
    </row>
    <row r="2917" spans="1:7" x14ac:dyDescent="0.25">
      <c r="A2917" s="2" t="s">
        <v>39</v>
      </c>
      <c r="B2917" s="2" t="s">
        <v>175</v>
      </c>
      <c r="C2917" s="2">
        <v>13</v>
      </c>
      <c r="D2917" s="2">
        <v>13</v>
      </c>
      <c r="E2917" s="2">
        <v>13</v>
      </c>
      <c r="F2917" s="2">
        <v>0</v>
      </c>
      <c r="G2917" s="2">
        <v>0</v>
      </c>
    </row>
    <row r="2918" spans="1:7" x14ac:dyDescent="0.25">
      <c r="A2918" s="2" t="s">
        <v>39</v>
      </c>
      <c r="B2918" s="2" t="s">
        <v>11</v>
      </c>
      <c r="C2918" s="2">
        <v>1</v>
      </c>
      <c r="D2918" s="2">
        <v>1</v>
      </c>
      <c r="E2918" s="2">
        <v>1</v>
      </c>
      <c r="F2918" s="2">
        <v>0</v>
      </c>
      <c r="G2918" s="2">
        <v>0</v>
      </c>
    </row>
    <row r="2919" spans="1:7" x14ac:dyDescent="0.25">
      <c r="A2919" s="2" t="s">
        <v>39</v>
      </c>
      <c r="B2919" s="2" t="s">
        <v>174</v>
      </c>
      <c r="C2919" s="2">
        <v>4</v>
      </c>
      <c r="D2919" s="2">
        <v>4</v>
      </c>
      <c r="E2919" s="2">
        <v>3</v>
      </c>
      <c r="F2919" s="2">
        <v>1</v>
      </c>
      <c r="G2919" s="2">
        <v>0</v>
      </c>
    </row>
    <row r="2920" spans="1:7" x14ac:dyDescent="0.25">
      <c r="A2920" s="2" t="s">
        <v>39</v>
      </c>
      <c r="B2920" s="2" t="s">
        <v>176</v>
      </c>
      <c r="C2920" s="2">
        <v>12</v>
      </c>
      <c r="D2920" s="2">
        <v>11</v>
      </c>
      <c r="E2920" s="2">
        <v>11</v>
      </c>
      <c r="F2920" s="2">
        <v>0</v>
      </c>
      <c r="G2920" s="2">
        <v>1</v>
      </c>
    </row>
    <row r="2921" spans="1:7" x14ac:dyDescent="0.25">
      <c r="A2921" s="2" t="s">
        <v>167</v>
      </c>
      <c r="B2921" s="2" t="s">
        <v>176</v>
      </c>
      <c r="C2921" s="2">
        <v>1</v>
      </c>
      <c r="D2921" s="2">
        <v>1</v>
      </c>
      <c r="E2921" s="2">
        <v>1</v>
      </c>
      <c r="F2921" s="2">
        <v>0</v>
      </c>
      <c r="G2921" s="2">
        <v>0</v>
      </c>
    </row>
    <row r="2922" spans="1:7" x14ac:dyDescent="0.25">
      <c r="A2922" s="2" t="s">
        <v>167</v>
      </c>
      <c r="B2922" s="2" t="s">
        <v>11</v>
      </c>
      <c r="C2922" s="2">
        <v>1</v>
      </c>
      <c r="D2922" s="2">
        <v>1</v>
      </c>
      <c r="E2922" s="2">
        <v>1</v>
      </c>
      <c r="F2922" s="2">
        <v>0</v>
      </c>
      <c r="G2922" s="2">
        <v>0</v>
      </c>
    </row>
    <row r="2923" spans="1:7" x14ac:dyDescent="0.25">
      <c r="A2923" s="2" t="s">
        <v>167</v>
      </c>
      <c r="B2923" s="2" t="s">
        <v>175</v>
      </c>
      <c r="C2923" s="2">
        <v>3</v>
      </c>
      <c r="D2923" s="2">
        <v>3</v>
      </c>
      <c r="E2923" s="2">
        <v>3</v>
      </c>
      <c r="F2923" s="2">
        <v>0</v>
      </c>
      <c r="G2923" s="2">
        <v>0</v>
      </c>
    </row>
    <row r="2924" spans="1:7" x14ac:dyDescent="0.25">
      <c r="A2924" s="2" t="s">
        <v>167</v>
      </c>
      <c r="B2924" s="2" t="s">
        <v>174</v>
      </c>
      <c r="C2924" s="2">
        <v>1</v>
      </c>
      <c r="D2924" s="2">
        <v>1</v>
      </c>
      <c r="E2924" s="2">
        <v>1</v>
      </c>
      <c r="F2924" s="2">
        <v>0</v>
      </c>
      <c r="G2924" s="2">
        <v>0</v>
      </c>
    </row>
    <row r="2925" spans="1:7" x14ac:dyDescent="0.25">
      <c r="A2925" s="2" t="s">
        <v>178</v>
      </c>
      <c r="B2925" s="2" t="s">
        <v>176</v>
      </c>
      <c r="C2925" s="2">
        <v>4</v>
      </c>
      <c r="D2925" s="2">
        <v>4</v>
      </c>
      <c r="E2925" s="2">
        <v>4</v>
      </c>
      <c r="F2925" s="2">
        <v>0</v>
      </c>
      <c r="G2925" s="2">
        <v>0</v>
      </c>
    </row>
    <row r="2926" spans="1:7" x14ac:dyDescent="0.25">
      <c r="A2926" s="2" t="s">
        <v>178</v>
      </c>
      <c r="B2926" s="2" t="s">
        <v>174</v>
      </c>
      <c r="C2926" s="2">
        <v>3</v>
      </c>
      <c r="D2926" s="2">
        <v>3</v>
      </c>
      <c r="E2926" s="2">
        <v>2</v>
      </c>
      <c r="F2926" s="2">
        <v>1</v>
      </c>
      <c r="G2926" s="2">
        <v>0</v>
      </c>
    </row>
    <row r="2927" spans="1:7" x14ac:dyDescent="0.25">
      <c r="A2927" s="2" t="s">
        <v>178</v>
      </c>
      <c r="B2927" s="2" t="s">
        <v>175</v>
      </c>
      <c r="C2927" s="2">
        <v>4</v>
      </c>
      <c r="D2927" s="2">
        <v>4</v>
      </c>
      <c r="E2927" s="2">
        <v>4</v>
      </c>
      <c r="F2927" s="2">
        <v>0</v>
      </c>
      <c r="G2927" s="2">
        <v>0</v>
      </c>
    </row>
    <row r="2928" spans="1:7" x14ac:dyDescent="0.25">
      <c r="A2928" s="2" t="s">
        <v>178</v>
      </c>
      <c r="B2928" s="2" t="s">
        <v>11</v>
      </c>
      <c r="C2928" s="2">
        <v>1</v>
      </c>
      <c r="D2928" s="2">
        <v>1</v>
      </c>
      <c r="E2928" s="2">
        <v>1</v>
      </c>
      <c r="F2928" s="2">
        <v>0</v>
      </c>
      <c r="G2928" s="2">
        <v>0</v>
      </c>
    </row>
    <row r="2929" spans="1:7" x14ac:dyDescent="0.25">
      <c r="A2929" s="2" t="s">
        <v>107</v>
      </c>
      <c r="B2929" s="2" t="s">
        <v>3</v>
      </c>
      <c r="C2929" s="2">
        <v>1</v>
      </c>
      <c r="D2929" s="2">
        <v>1</v>
      </c>
      <c r="E2929" s="2">
        <v>1</v>
      </c>
      <c r="F2929" s="2">
        <v>0</v>
      </c>
      <c r="G2929" s="2">
        <v>0</v>
      </c>
    </row>
    <row r="2930" spans="1:7" x14ac:dyDescent="0.25">
      <c r="A2930" s="2" t="s">
        <v>107</v>
      </c>
      <c r="B2930" s="2" t="s">
        <v>11</v>
      </c>
      <c r="C2930" s="2">
        <v>2</v>
      </c>
      <c r="D2930" s="2">
        <v>2</v>
      </c>
      <c r="E2930" s="2">
        <v>2</v>
      </c>
      <c r="F2930" s="2">
        <v>0</v>
      </c>
      <c r="G2930" s="2">
        <v>0</v>
      </c>
    </row>
    <row r="2931" spans="1:7" x14ac:dyDescent="0.25">
      <c r="A2931" s="2" t="s">
        <v>107</v>
      </c>
      <c r="B2931" s="2" t="s">
        <v>175</v>
      </c>
      <c r="C2931" s="2">
        <v>8</v>
      </c>
      <c r="D2931" s="2">
        <v>8</v>
      </c>
      <c r="E2931" s="2">
        <v>4</v>
      </c>
      <c r="F2931" s="2">
        <v>4</v>
      </c>
      <c r="G2931" s="2">
        <v>0</v>
      </c>
    </row>
    <row r="2932" spans="1:7" x14ac:dyDescent="0.25">
      <c r="A2932" s="2" t="s">
        <v>107</v>
      </c>
      <c r="B2932" s="2" t="s">
        <v>176</v>
      </c>
      <c r="C2932" s="2">
        <v>22</v>
      </c>
      <c r="D2932" s="2">
        <v>21</v>
      </c>
      <c r="E2932" s="2">
        <v>17</v>
      </c>
      <c r="F2932" s="2">
        <v>4</v>
      </c>
      <c r="G2932" s="2">
        <v>0</v>
      </c>
    </row>
    <row r="2933" spans="1:7" x14ac:dyDescent="0.25">
      <c r="A2933" s="2" t="s">
        <v>107</v>
      </c>
      <c r="B2933" s="2" t="s">
        <v>174</v>
      </c>
      <c r="C2933" s="2">
        <v>11</v>
      </c>
      <c r="D2933" s="2">
        <v>11</v>
      </c>
      <c r="E2933" s="2">
        <v>5</v>
      </c>
      <c r="F2933" s="2">
        <v>6</v>
      </c>
      <c r="G2933" s="2">
        <v>0</v>
      </c>
    </row>
    <row r="2934" spans="1:7" x14ac:dyDescent="0.25">
      <c r="A2934" s="2" t="s">
        <v>134</v>
      </c>
      <c r="B2934" s="2" t="s">
        <v>3</v>
      </c>
      <c r="C2934" s="2">
        <v>1</v>
      </c>
      <c r="D2934" s="2">
        <v>1</v>
      </c>
      <c r="E2934" s="2">
        <v>1</v>
      </c>
      <c r="F2934" s="2">
        <v>0</v>
      </c>
      <c r="G2934" s="2">
        <v>0</v>
      </c>
    </row>
    <row r="2935" spans="1:7" x14ac:dyDescent="0.25">
      <c r="A2935" s="2" t="s">
        <v>134</v>
      </c>
      <c r="B2935" s="2" t="s">
        <v>175</v>
      </c>
      <c r="C2935" s="2">
        <v>1</v>
      </c>
      <c r="D2935" s="2">
        <v>1</v>
      </c>
      <c r="E2935" s="2">
        <v>1</v>
      </c>
      <c r="F2935" s="2">
        <v>0</v>
      </c>
      <c r="G2935" s="2">
        <v>0</v>
      </c>
    </row>
    <row r="2936" spans="1:7" x14ac:dyDescent="0.25">
      <c r="A2936" s="2" t="s">
        <v>121</v>
      </c>
      <c r="B2936" s="2" t="s">
        <v>175</v>
      </c>
      <c r="C2936" s="2">
        <v>20</v>
      </c>
      <c r="D2936" s="2">
        <v>20</v>
      </c>
      <c r="E2936" s="2">
        <v>13</v>
      </c>
      <c r="F2936" s="2">
        <v>7</v>
      </c>
      <c r="G2936" s="2">
        <v>0</v>
      </c>
    </row>
    <row r="2937" spans="1:7" x14ac:dyDescent="0.25">
      <c r="A2937" s="2" t="s">
        <v>121</v>
      </c>
      <c r="B2937" s="2" t="s">
        <v>11</v>
      </c>
      <c r="C2937" s="2">
        <v>2</v>
      </c>
      <c r="D2937" s="2">
        <v>2</v>
      </c>
      <c r="E2937" s="2">
        <v>2</v>
      </c>
      <c r="F2937" s="2">
        <v>0</v>
      </c>
      <c r="G2937" s="2">
        <v>0</v>
      </c>
    </row>
    <row r="2938" spans="1:7" x14ac:dyDescent="0.25">
      <c r="A2938" s="2" t="s">
        <v>121</v>
      </c>
      <c r="B2938" s="2" t="s">
        <v>176</v>
      </c>
      <c r="C2938" s="2">
        <v>9</v>
      </c>
      <c r="D2938" s="2">
        <v>9</v>
      </c>
      <c r="E2938" s="2">
        <v>7</v>
      </c>
      <c r="F2938" s="2">
        <v>2</v>
      </c>
      <c r="G2938" s="2">
        <v>0</v>
      </c>
    </row>
    <row r="2939" spans="1:7" x14ac:dyDescent="0.25">
      <c r="A2939" s="2" t="s">
        <v>121</v>
      </c>
      <c r="B2939" s="2" t="s">
        <v>174</v>
      </c>
      <c r="C2939" s="2">
        <v>13</v>
      </c>
      <c r="D2939" s="2">
        <v>13</v>
      </c>
      <c r="E2939" s="2">
        <v>8</v>
      </c>
      <c r="F2939" s="2">
        <v>5</v>
      </c>
      <c r="G2939" s="2">
        <v>0</v>
      </c>
    </row>
    <row r="2940" spans="1:7" x14ac:dyDescent="0.25">
      <c r="A2940" s="2" t="s">
        <v>80</v>
      </c>
      <c r="B2940" s="2" t="s">
        <v>175</v>
      </c>
      <c r="C2940" s="2">
        <v>5</v>
      </c>
      <c r="D2940" s="2">
        <v>5</v>
      </c>
      <c r="E2940" s="2">
        <v>4</v>
      </c>
      <c r="F2940" s="2">
        <v>1</v>
      </c>
      <c r="G2940" s="2">
        <v>0</v>
      </c>
    </row>
    <row r="2941" spans="1:7" x14ac:dyDescent="0.25">
      <c r="A2941" s="2" t="s">
        <v>80</v>
      </c>
      <c r="B2941" s="2" t="s">
        <v>174</v>
      </c>
      <c r="C2941" s="2">
        <v>6</v>
      </c>
      <c r="D2941" s="2">
        <v>6</v>
      </c>
      <c r="E2941" s="2">
        <v>4</v>
      </c>
      <c r="F2941" s="2">
        <v>2</v>
      </c>
      <c r="G2941" s="2">
        <v>0</v>
      </c>
    </row>
    <row r="2942" spans="1:7" x14ac:dyDescent="0.25">
      <c r="A2942" s="2" t="s">
        <v>80</v>
      </c>
      <c r="B2942" s="2" t="s">
        <v>11</v>
      </c>
      <c r="C2942" s="2">
        <v>2</v>
      </c>
      <c r="D2942" s="2">
        <v>2</v>
      </c>
      <c r="E2942" s="2">
        <v>2</v>
      </c>
      <c r="F2942" s="2">
        <v>0</v>
      </c>
      <c r="G2942" s="2">
        <v>0</v>
      </c>
    </row>
    <row r="2943" spans="1:7" x14ac:dyDescent="0.25">
      <c r="A2943" s="2" t="s">
        <v>80</v>
      </c>
      <c r="B2943" s="2" t="s">
        <v>176</v>
      </c>
      <c r="C2943" s="2">
        <v>1</v>
      </c>
      <c r="D2943" s="2">
        <v>1</v>
      </c>
      <c r="E2943" s="2">
        <v>1</v>
      </c>
      <c r="F2943" s="2">
        <v>0</v>
      </c>
      <c r="G2943" s="2">
        <v>0</v>
      </c>
    </row>
    <row r="2944" spans="1:7" x14ac:dyDescent="0.25">
      <c r="A2944" s="2" t="s">
        <v>101</v>
      </c>
      <c r="B2944" s="2" t="s">
        <v>175</v>
      </c>
      <c r="C2944" s="2">
        <v>4</v>
      </c>
      <c r="D2944" s="2">
        <v>4</v>
      </c>
      <c r="E2944" s="2">
        <v>2</v>
      </c>
      <c r="F2944" s="2">
        <v>2</v>
      </c>
      <c r="G2944" s="2">
        <v>0</v>
      </c>
    </row>
    <row r="2945" spans="1:7" x14ac:dyDescent="0.25">
      <c r="A2945" s="2" t="s">
        <v>101</v>
      </c>
      <c r="B2945" s="2" t="s">
        <v>11</v>
      </c>
      <c r="C2945" s="2">
        <v>1</v>
      </c>
      <c r="D2945" s="2">
        <v>1</v>
      </c>
      <c r="E2945" s="2">
        <v>1</v>
      </c>
      <c r="F2945" s="2">
        <v>0</v>
      </c>
      <c r="G2945" s="2">
        <v>0</v>
      </c>
    </row>
    <row r="2946" spans="1:7" x14ac:dyDescent="0.25">
      <c r="A2946" s="2" t="s">
        <v>101</v>
      </c>
      <c r="B2946" s="2" t="s">
        <v>174</v>
      </c>
      <c r="C2946" s="2">
        <v>2</v>
      </c>
      <c r="D2946" s="2">
        <v>2</v>
      </c>
      <c r="E2946" s="2">
        <v>2</v>
      </c>
      <c r="F2946" s="2">
        <v>0</v>
      </c>
      <c r="G2946" s="2">
        <v>0</v>
      </c>
    </row>
    <row r="2947" spans="1:7" x14ac:dyDescent="0.25">
      <c r="A2947" s="2" t="s">
        <v>101</v>
      </c>
      <c r="B2947" s="2" t="s">
        <v>176</v>
      </c>
      <c r="C2947" s="2">
        <v>2</v>
      </c>
      <c r="D2947" s="2">
        <v>2</v>
      </c>
      <c r="E2947" s="2">
        <v>2</v>
      </c>
      <c r="F2947" s="2">
        <v>0</v>
      </c>
      <c r="G2947" s="2">
        <v>0</v>
      </c>
    </row>
    <row r="2948" spans="1:7" x14ac:dyDescent="0.25">
      <c r="A2948" s="2" t="s">
        <v>52</v>
      </c>
      <c r="B2948" s="2" t="s">
        <v>11</v>
      </c>
      <c r="C2948" s="2">
        <v>4</v>
      </c>
      <c r="D2948" s="2">
        <v>4</v>
      </c>
      <c r="E2948" s="2">
        <v>4</v>
      </c>
      <c r="F2948" s="2">
        <v>0</v>
      </c>
      <c r="G2948" s="2">
        <v>0</v>
      </c>
    </row>
    <row r="2949" spans="1:7" x14ac:dyDescent="0.25">
      <c r="A2949" s="2" t="s">
        <v>52</v>
      </c>
      <c r="B2949" s="2" t="s">
        <v>174</v>
      </c>
      <c r="C2949" s="2">
        <v>20</v>
      </c>
      <c r="D2949" s="2">
        <v>20</v>
      </c>
      <c r="E2949" s="2">
        <v>19</v>
      </c>
      <c r="F2949" s="2">
        <v>1</v>
      </c>
      <c r="G2949" s="2">
        <v>0</v>
      </c>
    </row>
    <row r="2950" spans="1:7" x14ac:dyDescent="0.25">
      <c r="A2950" s="2" t="s">
        <v>52</v>
      </c>
      <c r="B2950" s="2" t="s">
        <v>175</v>
      </c>
      <c r="C2950" s="2">
        <v>20</v>
      </c>
      <c r="D2950" s="2">
        <v>19</v>
      </c>
      <c r="E2950" s="2">
        <v>16</v>
      </c>
      <c r="F2950" s="2">
        <v>3</v>
      </c>
      <c r="G2950" s="2">
        <v>1</v>
      </c>
    </row>
    <row r="2951" spans="1:7" x14ac:dyDescent="0.25">
      <c r="A2951" s="2" t="s">
        <v>52</v>
      </c>
      <c r="B2951" s="2" t="s">
        <v>176</v>
      </c>
      <c r="C2951" s="2">
        <v>23</v>
      </c>
      <c r="D2951" s="2">
        <v>22</v>
      </c>
      <c r="E2951" s="2">
        <v>14</v>
      </c>
      <c r="F2951" s="2">
        <v>8</v>
      </c>
      <c r="G2951" s="2">
        <v>0</v>
      </c>
    </row>
    <row r="2952" spans="1:7" x14ac:dyDescent="0.25">
      <c r="A2952" s="2" t="s">
        <v>52</v>
      </c>
      <c r="B2952" s="2" t="s">
        <v>3</v>
      </c>
      <c r="C2952" s="2">
        <v>4</v>
      </c>
      <c r="D2952" s="2">
        <v>2</v>
      </c>
      <c r="E2952" s="2">
        <v>1</v>
      </c>
      <c r="F2952" s="2">
        <v>1</v>
      </c>
      <c r="G2952" s="2">
        <v>0</v>
      </c>
    </row>
    <row r="2953" spans="1:7" x14ac:dyDescent="0.25">
      <c r="A2953" s="2" t="s">
        <v>33</v>
      </c>
      <c r="B2953" s="2" t="s">
        <v>176</v>
      </c>
      <c r="C2953" s="2">
        <v>24</v>
      </c>
      <c r="D2953" s="2">
        <v>24</v>
      </c>
      <c r="E2953" s="2">
        <v>20</v>
      </c>
      <c r="F2953" s="2">
        <v>4</v>
      </c>
      <c r="G2953" s="2">
        <v>0</v>
      </c>
    </row>
    <row r="2954" spans="1:7" x14ac:dyDescent="0.25">
      <c r="A2954" s="2" t="s">
        <v>33</v>
      </c>
      <c r="B2954" s="2" t="s">
        <v>11</v>
      </c>
      <c r="C2954" s="2">
        <v>8</v>
      </c>
      <c r="D2954" s="2">
        <v>8</v>
      </c>
      <c r="E2954" s="2">
        <v>5</v>
      </c>
      <c r="F2954" s="2">
        <v>3</v>
      </c>
      <c r="G2954" s="2">
        <v>0</v>
      </c>
    </row>
    <row r="2955" spans="1:7" x14ac:dyDescent="0.25">
      <c r="A2955" s="2" t="s">
        <v>33</v>
      </c>
      <c r="B2955" s="2" t="s">
        <v>175</v>
      </c>
      <c r="C2955" s="2">
        <v>10</v>
      </c>
      <c r="D2955" s="2">
        <v>10</v>
      </c>
      <c r="E2955" s="2">
        <v>9</v>
      </c>
      <c r="F2955" s="2">
        <v>1</v>
      </c>
      <c r="G2955" s="2">
        <v>0</v>
      </c>
    </row>
    <row r="2956" spans="1:7" x14ac:dyDescent="0.25">
      <c r="A2956" s="2" t="s">
        <v>33</v>
      </c>
      <c r="B2956" s="2" t="s">
        <v>174</v>
      </c>
      <c r="C2956" s="2">
        <v>18</v>
      </c>
      <c r="D2956" s="2">
        <v>18</v>
      </c>
      <c r="E2956" s="2">
        <v>15</v>
      </c>
      <c r="F2956" s="2">
        <v>3</v>
      </c>
      <c r="G2956" s="2">
        <v>0</v>
      </c>
    </row>
    <row r="2957" spans="1:7" x14ac:dyDescent="0.25">
      <c r="A2957" s="2" t="s">
        <v>45</v>
      </c>
      <c r="B2957" s="2" t="s">
        <v>176</v>
      </c>
      <c r="C2957" s="2">
        <v>1</v>
      </c>
      <c r="D2957" s="2">
        <v>1</v>
      </c>
      <c r="E2957" s="2">
        <v>1</v>
      </c>
      <c r="F2957" s="2">
        <v>0</v>
      </c>
      <c r="G2957" s="2">
        <v>0</v>
      </c>
    </row>
    <row r="2958" spans="1:7" x14ac:dyDescent="0.25">
      <c r="A2958" s="2" t="s">
        <v>45</v>
      </c>
      <c r="B2958" s="2" t="s">
        <v>174</v>
      </c>
      <c r="C2958" s="2">
        <v>1</v>
      </c>
      <c r="D2958" s="2">
        <v>1</v>
      </c>
      <c r="E2958" s="2">
        <v>1</v>
      </c>
      <c r="F2958" s="2">
        <v>0</v>
      </c>
      <c r="G2958" s="2">
        <v>0</v>
      </c>
    </row>
    <row r="2959" spans="1:7" x14ac:dyDescent="0.25">
      <c r="A2959" s="2" t="s">
        <v>143</v>
      </c>
      <c r="B2959" s="2" t="s">
        <v>176</v>
      </c>
      <c r="C2959" s="2">
        <v>3</v>
      </c>
      <c r="D2959" s="2">
        <v>3</v>
      </c>
      <c r="E2959" s="2">
        <v>3</v>
      </c>
      <c r="F2959" s="2">
        <v>0</v>
      </c>
      <c r="G2959" s="2">
        <v>0</v>
      </c>
    </row>
    <row r="2960" spans="1:7" x14ac:dyDescent="0.25">
      <c r="A2960" s="2" t="s">
        <v>143</v>
      </c>
      <c r="B2960" s="2" t="s">
        <v>174</v>
      </c>
      <c r="C2960" s="2">
        <v>7</v>
      </c>
      <c r="D2960" s="2">
        <v>7</v>
      </c>
      <c r="E2960" s="2">
        <v>3</v>
      </c>
      <c r="F2960" s="2">
        <v>4</v>
      </c>
      <c r="G2960" s="2">
        <v>0</v>
      </c>
    </row>
    <row r="2961" spans="1:7" x14ac:dyDescent="0.25">
      <c r="A2961" s="2" t="s">
        <v>143</v>
      </c>
      <c r="B2961" s="2" t="s">
        <v>175</v>
      </c>
      <c r="C2961" s="2">
        <v>16</v>
      </c>
      <c r="D2961" s="2">
        <v>15</v>
      </c>
      <c r="E2961" s="2">
        <v>12</v>
      </c>
      <c r="F2961" s="2">
        <v>3</v>
      </c>
      <c r="G2961" s="2">
        <v>0</v>
      </c>
    </row>
    <row r="2962" spans="1:7" x14ac:dyDescent="0.25">
      <c r="A2962" s="2" t="s">
        <v>143</v>
      </c>
      <c r="B2962" s="2" t="s">
        <v>3</v>
      </c>
      <c r="C2962" s="2">
        <v>3</v>
      </c>
      <c r="D2962" s="2">
        <v>1</v>
      </c>
      <c r="E2962" s="2">
        <v>1</v>
      </c>
      <c r="F2962" s="2">
        <v>0</v>
      </c>
      <c r="G2962" s="2">
        <v>0</v>
      </c>
    </row>
    <row r="2963" spans="1:7" x14ac:dyDescent="0.25">
      <c r="A2963" s="2" t="s">
        <v>143</v>
      </c>
      <c r="B2963" s="2" t="s">
        <v>182</v>
      </c>
      <c r="C2963" s="2">
        <v>3</v>
      </c>
      <c r="D2963" s="2">
        <v>3</v>
      </c>
      <c r="E2963" s="2">
        <v>2</v>
      </c>
      <c r="F2963" s="2">
        <v>1</v>
      </c>
      <c r="G2963" s="2">
        <v>0</v>
      </c>
    </row>
    <row r="2964" spans="1:7" x14ac:dyDescent="0.25">
      <c r="A2964" s="2" t="s">
        <v>143</v>
      </c>
      <c r="B2964" s="2" t="s">
        <v>11</v>
      </c>
      <c r="C2964" s="2">
        <v>2</v>
      </c>
      <c r="D2964" s="2">
        <v>2</v>
      </c>
      <c r="E2964" s="2">
        <v>0</v>
      </c>
      <c r="F2964" s="2">
        <v>2</v>
      </c>
      <c r="G2964" s="2">
        <v>0</v>
      </c>
    </row>
    <row r="2965" spans="1:7" x14ac:dyDescent="0.25">
      <c r="A2965" s="2" t="s">
        <v>46</v>
      </c>
      <c r="B2965" s="2" t="s">
        <v>3</v>
      </c>
      <c r="C2965" s="2">
        <v>1</v>
      </c>
      <c r="D2965" s="2">
        <v>1</v>
      </c>
      <c r="E2965" s="2">
        <v>0</v>
      </c>
      <c r="F2965" s="2">
        <v>1</v>
      </c>
      <c r="G2965" s="2">
        <v>0</v>
      </c>
    </row>
    <row r="2966" spans="1:7" x14ac:dyDescent="0.25">
      <c r="A2966" s="2" t="s">
        <v>46</v>
      </c>
      <c r="B2966" s="2" t="s">
        <v>176</v>
      </c>
      <c r="C2966" s="2">
        <v>16</v>
      </c>
      <c r="D2966" s="2">
        <v>16</v>
      </c>
      <c r="E2966" s="2">
        <v>16</v>
      </c>
      <c r="F2966" s="2">
        <v>0</v>
      </c>
      <c r="G2966" s="2">
        <v>0</v>
      </c>
    </row>
    <row r="2967" spans="1:7" x14ac:dyDescent="0.25">
      <c r="A2967" s="2" t="s">
        <v>46</v>
      </c>
      <c r="B2967" s="2" t="s">
        <v>175</v>
      </c>
      <c r="C2967" s="2">
        <v>26</v>
      </c>
      <c r="D2967" s="2">
        <v>26</v>
      </c>
      <c r="E2967" s="2">
        <v>12</v>
      </c>
      <c r="F2967" s="2">
        <v>14</v>
      </c>
      <c r="G2967" s="2">
        <v>0</v>
      </c>
    </row>
    <row r="2968" spans="1:7" x14ac:dyDescent="0.25">
      <c r="A2968" s="2" t="s">
        <v>46</v>
      </c>
      <c r="B2968" s="2" t="s">
        <v>174</v>
      </c>
      <c r="C2968" s="2">
        <v>5</v>
      </c>
      <c r="D2968" s="2">
        <v>5</v>
      </c>
      <c r="E2968" s="2">
        <v>5</v>
      </c>
      <c r="F2968" s="2">
        <v>0</v>
      </c>
      <c r="G2968" s="2">
        <v>0</v>
      </c>
    </row>
    <row r="2969" spans="1:7" x14ac:dyDescent="0.25">
      <c r="A2969" s="2" t="s">
        <v>46</v>
      </c>
      <c r="B2969" s="2" t="s">
        <v>11</v>
      </c>
      <c r="C2969" s="2">
        <v>1</v>
      </c>
      <c r="D2969" s="2">
        <v>1</v>
      </c>
      <c r="E2969" s="2">
        <v>1</v>
      </c>
      <c r="F2969" s="2">
        <v>0</v>
      </c>
      <c r="G2969" s="2">
        <v>0</v>
      </c>
    </row>
    <row r="2970" spans="1:7" x14ac:dyDescent="0.25">
      <c r="A2970" s="2" t="s">
        <v>170</v>
      </c>
      <c r="B2970" s="2" t="s">
        <v>3</v>
      </c>
      <c r="C2970" s="2">
        <v>3</v>
      </c>
      <c r="D2970" s="2">
        <v>3</v>
      </c>
      <c r="E2970" s="2">
        <v>2</v>
      </c>
      <c r="F2970" s="2">
        <v>1</v>
      </c>
      <c r="G2970" s="2">
        <v>0</v>
      </c>
    </row>
    <row r="2971" spans="1:7" x14ac:dyDescent="0.25">
      <c r="A2971" s="2" t="s">
        <v>170</v>
      </c>
      <c r="B2971" s="2" t="s">
        <v>174</v>
      </c>
      <c r="C2971" s="2">
        <v>9</v>
      </c>
      <c r="D2971" s="2">
        <v>9</v>
      </c>
      <c r="E2971" s="2">
        <v>6</v>
      </c>
      <c r="F2971" s="2">
        <v>3</v>
      </c>
      <c r="G2971" s="2">
        <v>0</v>
      </c>
    </row>
    <row r="2972" spans="1:7" x14ac:dyDescent="0.25">
      <c r="A2972" s="2" t="s">
        <v>170</v>
      </c>
      <c r="B2972" s="2" t="s">
        <v>11</v>
      </c>
      <c r="C2972" s="2">
        <v>23</v>
      </c>
      <c r="D2972" s="2">
        <v>23</v>
      </c>
      <c r="E2972" s="2">
        <v>19</v>
      </c>
      <c r="F2972" s="2">
        <v>4</v>
      </c>
      <c r="G2972" s="2">
        <v>0</v>
      </c>
    </row>
    <row r="2973" spans="1:7" x14ac:dyDescent="0.25">
      <c r="A2973" s="2" t="s">
        <v>170</v>
      </c>
      <c r="B2973" s="2" t="s">
        <v>176</v>
      </c>
      <c r="C2973" s="2">
        <v>34</v>
      </c>
      <c r="D2973" s="2">
        <v>34</v>
      </c>
      <c r="E2973" s="2">
        <v>27</v>
      </c>
      <c r="F2973" s="2">
        <v>7</v>
      </c>
      <c r="G2973" s="2">
        <v>0</v>
      </c>
    </row>
    <row r="2974" spans="1:7" x14ac:dyDescent="0.25">
      <c r="A2974" s="2" t="s">
        <v>170</v>
      </c>
      <c r="B2974" s="2" t="s">
        <v>175</v>
      </c>
      <c r="C2974" s="2">
        <v>18</v>
      </c>
      <c r="D2974" s="2">
        <v>18</v>
      </c>
      <c r="E2974" s="2">
        <v>17</v>
      </c>
      <c r="F2974" s="2">
        <v>1</v>
      </c>
      <c r="G2974" s="2">
        <v>0</v>
      </c>
    </row>
    <row r="2975" spans="1:7" x14ac:dyDescent="0.25">
      <c r="A2975" s="2" t="s">
        <v>120</v>
      </c>
      <c r="B2975" s="2" t="s">
        <v>3</v>
      </c>
      <c r="C2975" s="2">
        <v>2</v>
      </c>
      <c r="D2975" s="2">
        <v>0</v>
      </c>
      <c r="E2975" s="2">
        <v>0</v>
      </c>
      <c r="F2975" s="2">
        <v>0</v>
      </c>
      <c r="G2975" s="2">
        <v>0</v>
      </c>
    </row>
    <row r="2976" spans="1:7" x14ac:dyDescent="0.25">
      <c r="A2976" s="2" t="s">
        <v>120</v>
      </c>
      <c r="B2976" s="2" t="s">
        <v>174</v>
      </c>
      <c r="C2976" s="2">
        <v>25</v>
      </c>
      <c r="D2976" s="2">
        <v>24</v>
      </c>
      <c r="E2976" s="2">
        <v>18</v>
      </c>
      <c r="F2976" s="2">
        <v>6</v>
      </c>
      <c r="G2976" s="2">
        <v>1</v>
      </c>
    </row>
    <row r="2977" spans="1:7" x14ac:dyDescent="0.25">
      <c r="A2977" s="2" t="s">
        <v>120</v>
      </c>
      <c r="B2977" s="2" t="s">
        <v>176</v>
      </c>
      <c r="C2977" s="2">
        <v>23</v>
      </c>
      <c r="D2977" s="2">
        <v>23</v>
      </c>
      <c r="E2977" s="2">
        <v>16</v>
      </c>
      <c r="F2977" s="2">
        <v>7</v>
      </c>
      <c r="G2977" s="2">
        <v>0</v>
      </c>
    </row>
    <row r="2978" spans="1:7" x14ac:dyDescent="0.25">
      <c r="A2978" s="2" t="s">
        <v>120</v>
      </c>
      <c r="B2978" s="2" t="s">
        <v>175</v>
      </c>
      <c r="C2978" s="2">
        <v>17</v>
      </c>
      <c r="D2978" s="2">
        <v>16</v>
      </c>
      <c r="E2978" s="2">
        <v>14</v>
      </c>
      <c r="F2978" s="2">
        <v>2</v>
      </c>
      <c r="G2978" s="2">
        <v>1</v>
      </c>
    </row>
    <row r="2979" spans="1:7" x14ac:dyDescent="0.25">
      <c r="A2979" s="2" t="s">
        <v>120</v>
      </c>
      <c r="B2979" s="2" t="s">
        <v>11</v>
      </c>
      <c r="C2979" s="2">
        <v>10</v>
      </c>
      <c r="D2979" s="2">
        <v>10</v>
      </c>
      <c r="E2979" s="2">
        <v>6</v>
      </c>
      <c r="F2979" s="2">
        <v>4</v>
      </c>
      <c r="G2979" s="2">
        <v>0</v>
      </c>
    </row>
    <row r="2980" spans="1:7" x14ac:dyDescent="0.25">
      <c r="A2980" s="2" t="s">
        <v>181</v>
      </c>
      <c r="B2980" s="2" t="s">
        <v>176</v>
      </c>
      <c r="C2980" s="2">
        <v>1</v>
      </c>
      <c r="D2980" s="2">
        <v>1</v>
      </c>
      <c r="E2980" s="2">
        <v>1</v>
      </c>
      <c r="F2980" s="2">
        <v>0</v>
      </c>
      <c r="G2980" s="2">
        <v>0</v>
      </c>
    </row>
    <row r="2981" spans="1:7" x14ac:dyDescent="0.25">
      <c r="A2981" s="2" t="s">
        <v>179</v>
      </c>
      <c r="B2981" s="2" t="s">
        <v>11</v>
      </c>
      <c r="C2981" s="2">
        <v>1</v>
      </c>
      <c r="D2981" s="2">
        <v>1</v>
      </c>
      <c r="E2981" s="2">
        <v>1</v>
      </c>
      <c r="F2981" s="2">
        <v>0</v>
      </c>
      <c r="G2981" s="2">
        <v>0</v>
      </c>
    </row>
    <row r="2982" spans="1:7" x14ac:dyDescent="0.25">
      <c r="A2982" s="2" t="s">
        <v>179</v>
      </c>
      <c r="B2982" s="2" t="s">
        <v>175</v>
      </c>
      <c r="C2982" s="2">
        <v>5</v>
      </c>
      <c r="D2982" s="2">
        <v>5</v>
      </c>
      <c r="E2982" s="2">
        <v>4</v>
      </c>
      <c r="F2982" s="2">
        <v>1</v>
      </c>
      <c r="G2982" s="2">
        <v>0</v>
      </c>
    </row>
    <row r="2983" spans="1:7" x14ac:dyDescent="0.25">
      <c r="A2983" s="2" t="s">
        <v>179</v>
      </c>
      <c r="B2983" s="2" t="s">
        <v>174</v>
      </c>
      <c r="C2983" s="2">
        <v>5</v>
      </c>
      <c r="D2983" s="2">
        <v>5</v>
      </c>
      <c r="E2983" s="2">
        <v>5</v>
      </c>
      <c r="F2983" s="2">
        <v>0</v>
      </c>
      <c r="G2983" s="2">
        <v>0</v>
      </c>
    </row>
    <row r="2984" spans="1:7" x14ac:dyDescent="0.25">
      <c r="A2984" s="2" t="s">
        <v>179</v>
      </c>
      <c r="B2984" s="2" t="s">
        <v>176</v>
      </c>
      <c r="C2984" s="2">
        <v>6</v>
      </c>
      <c r="D2984" s="2">
        <v>6</v>
      </c>
      <c r="E2984" s="2">
        <v>5</v>
      </c>
      <c r="F2984" s="2">
        <v>1</v>
      </c>
      <c r="G2984" s="2">
        <v>0</v>
      </c>
    </row>
    <row r="2985" spans="1:7" x14ac:dyDescent="0.25">
      <c r="A2985" s="2" t="s">
        <v>86</v>
      </c>
      <c r="B2985" s="2" t="s">
        <v>11</v>
      </c>
      <c r="C2985" s="2">
        <v>9</v>
      </c>
      <c r="D2985" s="2">
        <v>9</v>
      </c>
      <c r="E2985" s="2">
        <v>9</v>
      </c>
      <c r="F2985" s="2">
        <v>0</v>
      </c>
      <c r="G2985" s="2">
        <v>0</v>
      </c>
    </row>
    <row r="2986" spans="1:7" x14ac:dyDescent="0.25">
      <c r="A2986" s="2" t="s">
        <v>86</v>
      </c>
      <c r="B2986" s="2" t="s">
        <v>175</v>
      </c>
      <c r="C2986" s="2">
        <v>11</v>
      </c>
      <c r="D2986" s="2">
        <v>10</v>
      </c>
      <c r="E2986" s="2">
        <v>9</v>
      </c>
      <c r="F2986" s="2">
        <v>1</v>
      </c>
      <c r="G2986" s="2">
        <v>0</v>
      </c>
    </row>
    <row r="2987" spans="1:7" x14ac:dyDescent="0.25">
      <c r="A2987" s="2" t="s">
        <v>86</v>
      </c>
      <c r="B2987" s="2" t="s">
        <v>174</v>
      </c>
      <c r="C2987" s="2">
        <v>15</v>
      </c>
      <c r="D2987" s="2">
        <v>15</v>
      </c>
      <c r="E2987" s="2">
        <v>14</v>
      </c>
      <c r="F2987" s="2">
        <v>1</v>
      </c>
      <c r="G2987" s="2">
        <v>0</v>
      </c>
    </row>
    <row r="2988" spans="1:7" x14ac:dyDescent="0.25">
      <c r="A2988" s="2" t="s">
        <v>86</v>
      </c>
      <c r="B2988" s="2" t="s">
        <v>176</v>
      </c>
      <c r="C2988" s="2">
        <v>16</v>
      </c>
      <c r="D2988" s="2">
        <v>16</v>
      </c>
      <c r="E2988" s="2">
        <v>15</v>
      </c>
      <c r="F2988" s="2">
        <v>1</v>
      </c>
      <c r="G2988" s="2">
        <v>0</v>
      </c>
    </row>
    <row r="2989" spans="1:7" x14ac:dyDescent="0.25">
      <c r="A2989" s="2" t="s">
        <v>154</v>
      </c>
      <c r="B2989" s="2" t="s">
        <v>176</v>
      </c>
      <c r="C2989" s="2">
        <v>19</v>
      </c>
      <c r="D2989" s="2">
        <v>19</v>
      </c>
      <c r="E2989" s="2">
        <v>15</v>
      </c>
      <c r="F2989" s="2">
        <v>4</v>
      </c>
      <c r="G2989" s="2">
        <v>0</v>
      </c>
    </row>
    <row r="2990" spans="1:7" x14ac:dyDescent="0.25">
      <c r="A2990" s="2" t="s">
        <v>154</v>
      </c>
      <c r="B2990" s="2" t="s">
        <v>174</v>
      </c>
      <c r="C2990" s="2">
        <v>9</v>
      </c>
      <c r="D2990" s="2">
        <v>9</v>
      </c>
      <c r="E2990" s="2">
        <v>8</v>
      </c>
      <c r="F2990" s="2">
        <v>1</v>
      </c>
      <c r="G2990" s="2">
        <v>0</v>
      </c>
    </row>
    <row r="2991" spans="1:7" x14ac:dyDescent="0.25">
      <c r="A2991" s="2" t="s">
        <v>154</v>
      </c>
      <c r="B2991" s="2" t="s">
        <v>175</v>
      </c>
      <c r="C2991" s="2">
        <v>11</v>
      </c>
      <c r="D2991" s="2">
        <v>11</v>
      </c>
      <c r="E2991" s="2">
        <v>7</v>
      </c>
      <c r="F2991" s="2">
        <v>4</v>
      </c>
      <c r="G2991" s="2">
        <v>0</v>
      </c>
    </row>
    <row r="2992" spans="1:7" x14ac:dyDescent="0.25">
      <c r="A2992" s="2" t="s">
        <v>140</v>
      </c>
      <c r="B2992" s="2" t="s">
        <v>11</v>
      </c>
      <c r="C2992" s="2">
        <v>1</v>
      </c>
      <c r="D2992" s="2">
        <v>1</v>
      </c>
      <c r="E2992" s="2">
        <v>1</v>
      </c>
      <c r="F2992" s="2">
        <v>0</v>
      </c>
      <c r="G2992" s="2">
        <v>0</v>
      </c>
    </row>
    <row r="2993" spans="1:13" x14ac:dyDescent="0.25">
      <c r="A2993" s="2" t="s">
        <v>140</v>
      </c>
      <c r="B2993" s="2" t="s">
        <v>175</v>
      </c>
      <c r="C2993" s="2">
        <v>8</v>
      </c>
      <c r="D2993" s="2">
        <v>5</v>
      </c>
      <c r="E2993" s="2">
        <v>4</v>
      </c>
      <c r="F2993" s="2">
        <v>1</v>
      </c>
      <c r="G2993" s="2">
        <v>0</v>
      </c>
    </row>
    <row r="2994" spans="1:13" x14ac:dyDescent="0.25">
      <c r="A2994" s="2" t="s">
        <v>140</v>
      </c>
      <c r="B2994" s="2" t="s">
        <v>176</v>
      </c>
      <c r="C2994" s="2">
        <v>2</v>
      </c>
      <c r="D2994" s="2">
        <v>2</v>
      </c>
      <c r="E2994" s="2">
        <v>0</v>
      </c>
      <c r="F2994" s="2">
        <v>2</v>
      </c>
      <c r="G2994" s="2">
        <v>0</v>
      </c>
    </row>
    <row r="2995" spans="1:13" x14ac:dyDescent="0.25">
      <c r="A2995" s="2" t="s">
        <v>48</v>
      </c>
      <c r="B2995" s="2" t="s">
        <v>174</v>
      </c>
      <c r="C2995" s="2">
        <v>2</v>
      </c>
      <c r="D2995" s="2">
        <v>2</v>
      </c>
      <c r="E2995" s="2">
        <v>1</v>
      </c>
      <c r="F2995" s="2">
        <v>1</v>
      </c>
      <c r="G2995" s="2">
        <v>0</v>
      </c>
    </row>
    <row r="2996" spans="1:13" x14ac:dyDescent="0.25">
      <c r="A2996" s="2" t="s">
        <v>48</v>
      </c>
      <c r="B2996" s="2" t="s">
        <v>175</v>
      </c>
      <c r="C2996" s="2">
        <v>6</v>
      </c>
      <c r="D2996" s="2">
        <v>6</v>
      </c>
      <c r="E2996" s="2">
        <v>5</v>
      </c>
      <c r="F2996" s="2">
        <v>1</v>
      </c>
      <c r="G2996" s="2">
        <v>0</v>
      </c>
    </row>
    <row r="2997" spans="1:13" x14ac:dyDescent="0.25">
      <c r="A2997" s="2" t="s">
        <v>166</v>
      </c>
      <c r="B2997" s="2" t="s">
        <v>174</v>
      </c>
      <c r="C2997" s="2">
        <v>14</v>
      </c>
      <c r="D2997" s="2">
        <v>14</v>
      </c>
      <c r="E2997" s="2">
        <v>12</v>
      </c>
      <c r="F2997" s="2">
        <v>2</v>
      </c>
      <c r="G2997" s="2">
        <v>0</v>
      </c>
    </row>
    <row r="2998" spans="1:13" x14ac:dyDescent="0.25">
      <c r="A2998" s="2" t="s">
        <v>166</v>
      </c>
      <c r="B2998" s="2" t="s">
        <v>176</v>
      </c>
      <c r="C2998" s="2">
        <v>13</v>
      </c>
      <c r="D2998" s="2">
        <v>12</v>
      </c>
      <c r="E2998" s="2">
        <v>12</v>
      </c>
      <c r="F2998" s="2">
        <v>0</v>
      </c>
      <c r="G2998" s="2">
        <v>0</v>
      </c>
    </row>
    <row r="2999" spans="1:13" x14ac:dyDescent="0.25">
      <c r="A2999" s="2" t="s">
        <v>166</v>
      </c>
      <c r="B2999" s="2" t="s">
        <v>175</v>
      </c>
      <c r="C2999" s="2">
        <v>34</v>
      </c>
      <c r="D2999" s="2">
        <v>32</v>
      </c>
      <c r="E2999" s="2">
        <v>19</v>
      </c>
      <c r="F2999" s="2">
        <v>13</v>
      </c>
      <c r="G2999" s="2">
        <v>0</v>
      </c>
    </row>
    <row r="3000" spans="1:13" x14ac:dyDescent="0.25">
      <c r="A3000" s="2" t="s">
        <v>92</v>
      </c>
      <c r="B3000" s="2" t="s">
        <v>175</v>
      </c>
      <c r="C3000" s="2">
        <v>3</v>
      </c>
      <c r="D3000" s="2">
        <v>3</v>
      </c>
      <c r="E3000" s="2">
        <v>2</v>
      </c>
      <c r="F3000" s="2">
        <v>1</v>
      </c>
      <c r="G3000" s="2">
        <v>0</v>
      </c>
    </row>
    <row r="3001" spans="1:13" x14ac:dyDescent="0.25">
      <c r="A3001" s="2" t="s">
        <v>40</v>
      </c>
      <c r="B3001" s="2" t="s">
        <v>11</v>
      </c>
      <c r="C3001" s="2">
        <v>4</v>
      </c>
      <c r="D3001" s="2">
        <v>4</v>
      </c>
      <c r="E3001" s="2">
        <v>4</v>
      </c>
      <c r="F3001" s="2">
        <v>0</v>
      </c>
      <c r="G3001" s="2">
        <v>0</v>
      </c>
    </row>
    <row r="3002" spans="1:13" x14ac:dyDescent="0.25">
      <c r="A3002" s="2" t="s">
        <v>40</v>
      </c>
      <c r="B3002" s="2" t="s">
        <v>175</v>
      </c>
      <c r="C3002" s="2">
        <v>1</v>
      </c>
      <c r="D3002" s="2">
        <v>1</v>
      </c>
      <c r="E3002" s="2">
        <v>1</v>
      </c>
      <c r="F3002" s="2">
        <v>0</v>
      </c>
      <c r="G3002" s="2">
        <v>0</v>
      </c>
    </row>
    <row r="3003" spans="1:13" x14ac:dyDescent="0.25">
      <c r="A3003" s="2" t="s">
        <v>40</v>
      </c>
      <c r="B3003" s="2" t="s">
        <v>176</v>
      </c>
      <c r="C3003" s="2">
        <v>2</v>
      </c>
      <c r="D3003" s="2">
        <v>2</v>
      </c>
      <c r="E3003" s="2">
        <v>2</v>
      </c>
      <c r="F3003" s="2">
        <v>0</v>
      </c>
      <c r="G3003" s="2">
        <v>0</v>
      </c>
    </row>
    <row r="3004" spans="1:13" x14ac:dyDescent="0.25">
      <c r="A3004" s="2" t="s">
        <v>40</v>
      </c>
      <c r="B3004" s="2" t="s">
        <v>3</v>
      </c>
      <c r="C3004" s="2">
        <v>1</v>
      </c>
      <c r="D3004" s="2">
        <v>1</v>
      </c>
      <c r="E3004" s="2">
        <v>1</v>
      </c>
      <c r="F3004" s="2">
        <v>0</v>
      </c>
      <c r="G3004" s="2">
        <v>0</v>
      </c>
    </row>
    <row r="3005" spans="1:13" x14ac:dyDescent="0.25">
      <c r="A3005" s="2" t="s">
        <v>41</v>
      </c>
      <c r="B3005" s="2" t="s">
        <v>11</v>
      </c>
      <c r="C3005" s="2">
        <v>1</v>
      </c>
      <c r="D3005" s="2">
        <v>1</v>
      </c>
      <c r="E3005" s="2">
        <v>1</v>
      </c>
      <c r="F3005" s="2">
        <v>0</v>
      </c>
      <c r="G3005" s="2">
        <v>0</v>
      </c>
      <c r="I3005">
        <f>+SUM(C2907:C3005)</f>
        <v>799</v>
      </c>
      <c r="J3005">
        <f t="shared" ref="J3005:M3005" si="1">+SUM(D2907:D3005)</f>
        <v>777</v>
      </c>
      <c r="K3005">
        <f t="shared" si="1"/>
        <v>616</v>
      </c>
      <c r="L3005">
        <f t="shared" si="1"/>
        <v>161</v>
      </c>
      <c r="M3005">
        <f t="shared" si="1"/>
        <v>4</v>
      </c>
    </row>
    <row r="3006" spans="1:13" x14ac:dyDescent="0.25">
      <c r="A3006" s="2" t="s">
        <v>41</v>
      </c>
      <c r="B3006" s="2" t="s">
        <v>175</v>
      </c>
      <c r="C3006" s="2">
        <v>5</v>
      </c>
      <c r="D3006" s="2">
        <v>5</v>
      </c>
      <c r="E3006" s="2">
        <v>5</v>
      </c>
      <c r="F3006" s="2">
        <v>0</v>
      </c>
      <c r="G3006" s="2">
        <v>0</v>
      </c>
    </row>
    <row r="3007" spans="1:13" x14ac:dyDescent="0.25">
      <c r="A3007" s="2" t="s">
        <v>41</v>
      </c>
      <c r="B3007" s="2" t="s">
        <v>176</v>
      </c>
      <c r="C3007" s="2">
        <v>13</v>
      </c>
      <c r="D3007" s="2">
        <v>13</v>
      </c>
      <c r="E3007" s="2">
        <v>11</v>
      </c>
      <c r="F3007" s="2">
        <v>2</v>
      </c>
      <c r="G3007" s="2">
        <v>0</v>
      </c>
    </row>
    <row r="3008" spans="1:13" x14ac:dyDescent="0.25">
      <c r="A3008" s="2" t="s">
        <v>102</v>
      </c>
      <c r="B3008" s="2" t="s">
        <v>174</v>
      </c>
      <c r="C3008" s="2">
        <v>5</v>
      </c>
      <c r="D3008" s="2">
        <v>5</v>
      </c>
      <c r="E3008" s="2">
        <v>3</v>
      </c>
      <c r="F3008" s="2">
        <v>2</v>
      </c>
      <c r="G3008" s="2">
        <v>0</v>
      </c>
    </row>
    <row r="3009" spans="1:7" x14ac:dyDescent="0.25">
      <c r="A3009" s="2" t="s">
        <v>102</v>
      </c>
      <c r="B3009" s="2" t="s">
        <v>176</v>
      </c>
      <c r="C3009" s="2">
        <v>1</v>
      </c>
      <c r="D3009" s="2">
        <v>1</v>
      </c>
      <c r="E3009" s="2">
        <v>1</v>
      </c>
      <c r="F3009" s="2">
        <v>0</v>
      </c>
      <c r="G3009" s="2">
        <v>0</v>
      </c>
    </row>
    <row r="3010" spans="1:7" x14ac:dyDescent="0.25">
      <c r="A3010" s="2" t="s">
        <v>102</v>
      </c>
      <c r="B3010" s="2" t="s">
        <v>3</v>
      </c>
      <c r="C3010" s="2">
        <v>1</v>
      </c>
      <c r="D3010" s="2">
        <v>1</v>
      </c>
      <c r="E3010" s="2">
        <v>1</v>
      </c>
      <c r="F3010" s="2">
        <v>0</v>
      </c>
      <c r="G3010" s="2">
        <v>0</v>
      </c>
    </row>
    <row r="3011" spans="1:7" x14ac:dyDescent="0.25">
      <c r="A3011" s="2" t="s">
        <v>102</v>
      </c>
      <c r="B3011" s="2" t="s">
        <v>175</v>
      </c>
      <c r="C3011" s="2">
        <v>9</v>
      </c>
      <c r="D3011" s="2">
        <v>9</v>
      </c>
      <c r="E3011" s="2">
        <v>8</v>
      </c>
      <c r="F3011" s="2">
        <v>1</v>
      </c>
      <c r="G3011" s="2">
        <v>0</v>
      </c>
    </row>
    <row r="3012" spans="1:7" x14ac:dyDescent="0.25">
      <c r="A3012" s="2" t="s">
        <v>148</v>
      </c>
      <c r="B3012" s="2" t="s">
        <v>3</v>
      </c>
      <c r="C3012" s="2">
        <v>1</v>
      </c>
      <c r="D3012" s="2">
        <v>1</v>
      </c>
      <c r="E3012" s="2">
        <v>1</v>
      </c>
      <c r="F3012" s="2">
        <v>0</v>
      </c>
      <c r="G3012" s="2">
        <v>0</v>
      </c>
    </row>
    <row r="3013" spans="1:7" x14ac:dyDescent="0.25">
      <c r="A3013" s="2" t="s">
        <v>148</v>
      </c>
      <c r="B3013" s="2" t="s">
        <v>174</v>
      </c>
      <c r="C3013" s="2">
        <v>17</v>
      </c>
      <c r="D3013" s="2">
        <v>17</v>
      </c>
      <c r="E3013" s="2">
        <v>14</v>
      </c>
      <c r="F3013" s="2">
        <v>3</v>
      </c>
      <c r="G3013" s="2">
        <v>0</v>
      </c>
    </row>
    <row r="3014" spans="1:7" x14ac:dyDescent="0.25">
      <c r="A3014" s="2" t="s">
        <v>148</v>
      </c>
      <c r="B3014" s="2" t="s">
        <v>175</v>
      </c>
      <c r="C3014" s="2">
        <v>18</v>
      </c>
      <c r="D3014" s="2">
        <v>18</v>
      </c>
      <c r="E3014" s="2">
        <v>15</v>
      </c>
      <c r="F3014" s="2">
        <v>3</v>
      </c>
      <c r="G3014" s="2">
        <v>0</v>
      </c>
    </row>
    <row r="3015" spans="1:7" x14ac:dyDescent="0.25">
      <c r="A3015" s="2" t="s">
        <v>148</v>
      </c>
      <c r="B3015" s="2" t="s">
        <v>11</v>
      </c>
      <c r="C3015" s="2">
        <v>19</v>
      </c>
      <c r="D3015" s="2">
        <v>19</v>
      </c>
      <c r="E3015" s="2">
        <v>16</v>
      </c>
      <c r="F3015" s="2">
        <v>3</v>
      </c>
      <c r="G3015" s="2">
        <v>0</v>
      </c>
    </row>
    <row r="3016" spans="1:7" x14ac:dyDescent="0.25">
      <c r="A3016" s="2" t="s">
        <v>148</v>
      </c>
      <c r="B3016" s="2" t="s">
        <v>176</v>
      </c>
      <c r="C3016" s="2">
        <v>9</v>
      </c>
      <c r="D3016" s="2">
        <v>9</v>
      </c>
      <c r="E3016" s="2">
        <v>8</v>
      </c>
      <c r="F3016" s="2">
        <v>1</v>
      </c>
      <c r="G3016" s="2">
        <v>0</v>
      </c>
    </row>
    <row r="3017" spans="1:7" x14ac:dyDescent="0.25">
      <c r="A3017" s="2" t="s">
        <v>135</v>
      </c>
      <c r="B3017" s="2" t="s">
        <v>176</v>
      </c>
      <c r="C3017" s="2">
        <v>12</v>
      </c>
      <c r="D3017" s="2">
        <v>12</v>
      </c>
      <c r="E3017" s="2">
        <v>12</v>
      </c>
      <c r="F3017" s="2">
        <v>0</v>
      </c>
      <c r="G3017" s="2">
        <v>0</v>
      </c>
    </row>
    <row r="3018" spans="1:7" x14ac:dyDescent="0.25">
      <c r="A3018" s="2" t="s">
        <v>135</v>
      </c>
      <c r="B3018" s="2" t="s">
        <v>175</v>
      </c>
      <c r="C3018" s="2">
        <v>3</v>
      </c>
      <c r="D3018" s="2">
        <v>3</v>
      </c>
      <c r="E3018" s="2">
        <v>1</v>
      </c>
      <c r="F3018" s="2">
        <v>2</v>
      </c>
      <c r="G3018" s="2">
        <v>0</v>
      </c>
    </row>
    <row r="3019" spans="1:7" x14ac:dyDescent="0.25">
      <c r="A3019" s="2" t="s">
        <v>135</v>
      </c>
      <c r="B3019" s="2" t="s">
        <v>11</v>
      </c>
      <c r="C3019" s="2">
        <v>3</v>
      </c>
      <c r="D3019" s="2">
        <v>3</v>
      </c>
      <c r="E3019" s="2">
        <v>3</v>
      </c>
      <c r="F3019" s="2">
        <v>0</v>
      </c>
      <c r="G3019" s="2">
        <v>0</v>
      </c>
    </row>
    <row r="3020" spans="1:7" x14ac:dyDescent="0.25">
      <c r="A3020" s="2" t="s">
        <v>135</v>
      </c>
      <c r="B3020" s="2" t="s">
        <v>174</v>
      </c>
      <c r="C3020" s="2">
        <v>16</v>
      </c>
      <c r="D3020" s="2">
        <v>15</v>
      </c>
      <c r="E3020" s="2">
        <v>14</v>
      </c>
      <c r="F3020" s="2">
        <v>1</v>
      </c>
      <c r="G3020" s="2">
        <v>0</v>
      </c>
    </row>
    <row r="3021" spans="1:7" x14ac:dyDescent="0.25">
      <c r="A3021" s="2" t="s">
        <v>34</v>
      </c>
      <c r="B3021" s="2" t="s">
        <v>3</v>
      </c>
      <c r="C3021" s="2">
        <v>1</v>
      </c>
      <c r="D3021" s="2">
        <v>1</v>
      </c>
      <c r="E3021" s="2">
        <v>1</v>
      </c>
      <c r="F3021" s="2">
        <v>0</v>
      </c>
      <c r="G3021" s="2">
        <v>0</v>
      </c>
    </row>
    <row r="3022" spans="1:7" x14ac:dyDescent="0.25">
      <c r="A3022" s="2" t="s">
        <v>34</v>
      </c>
      <c r="B3022" s="2" t="s">
        <v>11</v>
      </c>
      <c r="C3022" s="2">
        <v>2</v>
      </c>
      <c r="D3022" s="2">
        <v>2</v>
      </c>
      <c r="E3022" s="2">
        <v>2</v>
      </c>
      <c r="F3022" s="2">
        <v>0</v>
      </c>
      <c r="G3022" s="2">
        <v>0</v>
      </c>
    </row>
    <row r="3023" spans="1:7" x14ac:dyDescent="0.25">
      <c r="A3023" s="2" t="s">
        <v>34</v>
      </c>
      <c r="B3023" s="2" t="s">
        <v>174</v>
      </c>
      <c r="C3023" s="2">
        <v>3</v>
      </c>
      <c r="D3023" s="2">
        <v>3</v>
      </c>
      <c r="E3023" s="2">
        <v>2</v>
      </c>
      <c r="F3023" s="2">
        <v>1</v>
      </c>
      <c r="G3023" s="2">
        <v>0</v>
      </c>
    </row>
    <row r="3024" spans="1:7" x14ac:dyDescent="0.25">
      <c r="A3024" s="2" t="s">
        <v>34</v>
      </c>
      <c r="B3024" s="2" t="s">
        <v>175</v>
      </c>
      <c r="C3024" s="2">
        <v>2</v>
      </c>
      <c r="D3024" s="2">
        <v>2</v>
      </c>
      <c r="E3024" s="2">
        <v>2</v>
      </c>
      <c r="F3024" s="2">
        <v>0</v>
      </c>
      <c r="G3024" s="2">
        <v>0</v>
      </c>
    </row>
    <row r="3025" spans="1:7" x14ac:dyDescent="0.25">
      <c r="A3025" s="2" t="s">
        <v>34</v>
      </c>
      <c r="B3025" s="2" t="s">
        <v>176</v>
      </c>
      <c r="C3025" s="2">
        <v>12</v>
      </c>
      <c r="D3025" s="2">
        <v>12</v>
      </c>
      <c r="E3025" s="2">
        <v>8</v>
      </c>
      <c r="F3025" s="2">
        <v>4</v>
      </c>
      <c r="G3025" s="2">
        <v>0</v>
      </c>
    </row>
    <row r="3026" spans="1:7" x14ac:dyDescent="0.25">
      <c r="A3026" s="2" t="s">
        <v>145</v>
      </c>
      <c r="B3026" s="2" t="s">
        <v>3</v>
      </c>
      <c r="C3026" s="2">
        <v>1</v>
      </c>
      <c r="D3026" s="2">
        <v>1</v>
      </c>
      <c r="E3026" s="2">
        <v>1</v>
      </c>
      <c r="F3026" s="2">
        <v>0</v>
      </c>
      <c r="G3026" s="2">
        <v>0</v>
      </c>
    </row>
    <row r="3027" spans="1:7" x14ac:dyDescent="0.25">
      <c r="A3027" s="2" t="s">
        <v>145</v>
      </c>
      <c r="B3027" s="2" t="s">
        <v>176</v>
      </c>
      <c r="C3027" s="2">
        <v>16</v>
      </c>
      <c r="D3027" s="2">
        <v>16</v>
      </c>
      <c r="E3027" s="2">
        <v>15</v>
      </c>
      <c r="F3027" s="2">
        <v>1</v>
      </c>
      <c r="G3027" s="2">
        <v>0</v>
      </c>
    </row>
    <row r="3028" spans="1:7" x14ac:dyDescent="0.25">
      <c r="A3028" s="2" t="s">
        <v>145</v>
      </c>
      <c r="B3028" s="2" t="s">
        <v>175</v>
      </c>
      <c r="C3028" s="2">
        <v>15</v>
      </c>
      <c r="D3028" s="2">
        <v>13</v>
      </c>
      <c r="E3028" s="2">
        <v>13</v>
      </c>
      <c r="F3028" s="2">
        <v>0</v>
      </c>
      <c r="G3028" s="2">
        <v>0</v>
      </c>
    </row>
    <row r="3029" spans="1:7" x14ac:dyDescent="0.25">
      <c r="A3029" s="2" t="s">
        <v>145</v>
      </c>
      <c r="B3029" s="2" t="s">
        <v>11</v>
      </c>
      <c r="C3029" s="2">
        <v>12</v>
      </c>
      <c r="D3029" s="2">
        <v>12</v>
      </c>
      <c r="E3029" s="2">
        <v>11</v>
      </c>
      <c r="F3029" s="2">
        <v>1</v>
      </c>
      <c r="G3029" s="2">
        <v>0</v>
      </c>
    </row>
    <row r="3030" spans="1:7" x14ac:dyDescent="0.25">
      <c r="A3030" s="2" t="s">
        <v>145</v>
      </c>
      <c r="B3030" s="2" t="s">
        <v>174</v>
      </c>
      <c r="C3030" s="2">
        <v>7</v>
      </c>
      <c r="D3030" s="2">
        <v>7</v>
      </c>
      <c r="E3030" s="2">
        <v>6</v>
      </c>
      <c r="F3030" s="2">
        <v>1</v>
      </c>
      <c r="G3030" s="2">
        <v>0</v>
      </c>
    </row>
    <row r="3031" spans="1:7" x14ac:dyDescent="0.25">
      <c r="A3031" s="2" t="s">
        <v>42</v>
      </c>
      <c r="B3031" s="2" t="s">
        <v>3</v>
      </c>
      <c r="C3031" s="2">
        <v>1</v>
      </c>
      <c r="D3031" s="2">
        <v>0</v>
      </c>
      <c r="E3031" s="2">
        <v>0</v>
      </c>
      <c r="F3031" s="2">
        <v>0</v>
      </c>
      <c r="G3031" s="2">
        <v>0</v>
      </c>
    </row>
    <row r="3032" spans="1:7" x14ac:dyDescent="0.25">
      <c r="A3032" s="2" t="s">
        <v>42</v>
      </c>
      <c r="B3032" s="2" t="s">
        <v>175</v>
      </c>
      <c r="C3032" s="2">
        <v>11</v>
      </c>
      <c r="D3032" s="2">
        <v>10</v>
      </c>
      <c r="E3032" s="2">
        <v>8</v>
      </c>
      <c r="F3032" s="2">
        <v>2</v>
      </c>
      <c r="G3032" s="2">
        <v>0</v>
      </c>
    </row>
    <row r="3033" spans="1:7" x14ac:dyDescent="0.25">
      <c r="A3033" s="2" t="s">
        <v>42</v>
      </c>
      <c r="B3033" s="2" t="s">
        <v>174</v>
      </c>
      <c r="C3033" s="2">
        <v>6</v>
      </c>
      <c r="D3033" s="2">
        <v>6</v>
      </c>
      <c r="E3033" s="2">
        <v>5</v>
      </c>
      <c r="F3033" s="2">
        <v>1</v>
      </c>
      <c r="G3033" s="2">
        <v>0</v>
      </c>
    </row>
    <row r="3034" spans="1:7" x14ac:dyDescent="0.25">
      <c r="A3034" s="2" t="s">
        <v>42</v>
      </c>
      <c r="B3034" s="2" t="s">
        <v>11</v>
      </c>
      <c r="C3034" s="2">
        <v>2</v>
      </c>
      <c r="D3034" s="2">
        <v>2</v>
      </c>
      <c r="E3034" s="2">
        <v>2</v>
      </c>
      <c r="F3034" s="2">
        <v>0</v>
      </c>
      <c r="G3034" s="2">
        <v>0</v>
      </c>
    </row>
    <row r="3035" spans="1:7" x14ac:dyDescent="0.25">
      <c r="A3035" s="2" t="s">
        <v>42</v>
      </c>
      <c r="B3035" s="2" t="s">
        <v>176</v>
      </c>
      <c r="C3035" s="2">
        <v>12</v>
      </c>
      <c r="D3035" s="2">
        <v>12</v>
      </c>
      <c r="E3035" s="2">
        <v>10</v>
      </c>
      <c r="F3035" s="2">
        <v>2</v>
      </c>
      <c r="G3035" s="2">
        <v>0</v>
      </c>
    </row>
    <row r="3036" spans="1:7" x14ac:dyDescent="0.25">
      <c r="A3036" s="2" t="s">
        <v>58</v>
      </c>
      <c r="B3036" s="2" t="s">
        <v>176</v>
      </c>
      <c r="C3036" s="2">
        <v>5</v>
      </c>
      <c r="D3036" s="2">
        <v>5</v>
      </c>
      <c r="E3036" s="2">
        <v>4</v>
      </c>
      <c r="F3036" s="2">
        <v>1</v>
      </c>
      <c r="G3036" s="2">
        <v>0</v>
      </c>
    </row>
    <row r="3037" spans="1:7" x14ac:dyDescent="0.25">
      <c r="A3037" s="2" t="s">
        <v>58</v>
      </c>
      <c r="B3037" s="2" t="s">
        <v>11</v>
      </c>
      <c r="C3037" s="2">
        <v>2</v>
      </c>
      <c r="D3037" s="2">
        <v>2</v>
      </c>
      <c r="E3037" s="2">
        <v>2</v>
      </c>
      <c r="F3037" s="2">
        <v>0</v>
      </c>
      <c r="G3037" s="2">
        <v>0</v>
      </c>
    </row>
    <row r="3038" spans="1:7" x14ac:dyDescent="0.25">
      <c r="A3038" s="2" t="s">
        <v>58</v>
      </c>
      <c r="B3038" s="2" t="s">
        <v>174</v>
      </c>
      <c r="C3038" s="2">
        <v>7</v>
      </c>
      <c r="D3038" s="2">
        <v>6</v>
      </c>
      <c r="E3038" s="2">
        <v>6</v>
      </c>
      <c r="F3038" s="2">
        <v>0</v>
      </c>
      <c r="G3038" s="2">
        <v>1</v>
      </c>
    </row>
    <row r="3039" spans="1:7" x14ac:dyDescent="0.25">
      <c r="A3039" s="2" t="s">
        <v>144</v>
      </c>
      <c r="B3039" s="2" t="s">
        <v>174</v>
      </c>
      <c r="C3039" s="2">
        <v>2</v>
      </c>
      <c r="D3039" s="2">
        <v>2</v>
      </c>
      <c r="E3039" s="2">
        <v>1</v>
      </c>
      <c r="F3039" s="2">
        <v>1</v>
      </c>
      <c r="G3039" s="2">
        <v>0</v>
      </c>
    </row>
    <row r="3040" spans="1:7" x14ac:dyDescent="0.25">
      <c r="A3040" s="2" t="s">
        <v>144</v>
      </c>
      <c r="B3040" s="2" t="s">
        <v>11</v>
      </c>
      <c r="C3040" s="2">
        <v>5</v>
      </c>
      <c r="D3040" s="2">
        <v>5</v>
      </c>
      <c r="E3040" s="2">
        <v>4</v>
      </c>
      <c r="F3040" s="2">
        <v>1</v>
      </c>
      <c r="G3040" s="2">
        <v>0</v>
      </c>
    </row>
    <row r="3041" spans="1:7" x14ac:dyDescent="0.25">
      <c r="A3041" s="2" t="s">
        <v>144</v>
      </c>
      <c r="B3041" s="2" t="s">
        <v>175</v>
      </c>
      <c r="C3041" s="2">
        <v>6</v>
      </c>
      <c r="D3041" s="2">
        <v>6</v>
      </c>
      <c r="E3041" s="2">
        <v>5</v>
      </c>
      <c r="F3041" s="2">
        <v>1</v>
      </c>
      <c r="G3041" s="2">
        <v>0</v>
      </c>
    </row>
    <row r="3042" spans="1:7" x14ac:dyDescent="0.25">
      <c r="A3042" s="2" t="s">
        <v>144</v>
      </c>
      <c r="B3042" s="2" t="s">
        <v>176</v>
      </c>
      <c r="C3042" s="2">
        <v>4</v>
      </c>
      <c r="D3042" s="2">
        <v>4</v>
      </c>
      <c r="E3042" s="2">
        <v>4</v>
      </c>
      <c r="F3042" s="2">
        <v>0</v>
      </c>
      <c r="G3042" s="2">
        <v>0</v>
      </c>
    </row>
    <row r="3043" spans="1:7" x14ac:dyDescent="0.25">
      <c r="A3043" s="2" t="s">
        <v>28</v>
      </c>
      <c r="B3043" s="2" t="s">
        <v>176</v>
      </c>
      <c r="C3043" s="2">
        <v>13</v>
      </c>
      <c r="D3043" s="2">
        <v>12</v>
      </c>
      <c r="E3043" s="2">
        <v>11</v>
      </c>
      <c r="F3043" s="2">
        <v>1</v>
      </c>
      <c r="G3043" s="2">
        <v>0</v>
      </c>
    </row>
    <row r="3044" spans="1:7" x14ac:dyDescent="0.25">
      <c r="A3044" s="2" t="s">
        <v>28</v>
      </c>
      <c r="B3044" s="2" t="s">
        <v>11</v>
      </c>
      <c r="C3044" s="2">
        <v>2</v>
      </c>
      <c r="D3044" s="2">
        <v>2</v>
      </c>
      <c r="E3044" s="2">
        <v>1</v>
      </c>
      <c r="F3044" s="2">
        <v>1</v>
      </c>
      <c r="G3044" s="2">
        <v>0</v>
      </c>
    </row>
    <row r="3045" spans="1:7" x14ac:dyDescent="0.25">
      <c r="A3045" s="2" t="s">
        <v>28</v>
      </c>
      <c r="B3045" s="2" t="s">
        <v>175</v>
      </c>
      <c r="C3045" s="2">
        <v>12</v>
      </c>
      <c r="D3045" s="2">
        <v>11</v>
      </c>
      <c r="E3045" s="2">
        <v>9</v>
      </c>
      <c r="F3045" s="2">
        <v>2</v>
      </c>
      <c r="G3045" s="2">
        <v>0</v>
      </c>
    </row>
    <row r="3046" spans="1:7" x14ac:dyDescent="0.25">
      <c r="A3046" s="2" t="s">
        <v>28</v>
      </c>
      <c r="B3046" s="2" t="s">
        <v>3</v>
      </c>
      <c r="C3046" s="2">
        <v>1</v>
      </c>
      <c r="D3046" s="2">
        <v>1</v>
      </c>
      <c r="E3046" s="2">
        <v>1</v>
      </c>
      <c r="F3046" s="2">
        <v>0</v>
      </c>
      <c r="G3046" s="2">
        <v>0</v>
      </c>
    </row>
    <row r="3047" spans="1:7" x14ac:dyDescent="0.25">
      <c r="A3047" s="2" t="s">
        <v>28</v>
      </c>
      <c r="B3047" s="2" t="s">
        <v>174</v>
      </c>
      <c r="C3047" s="2">
        <v>4</v>
      </c>
      <c r="D3047" s="2">
        <v>4</v>
      </c>
      <c r="E3047" s="2">
        <v>2</v>
      </c>
      <c r="F3047" s="2">
        <v>2</v>
      </c>
      <c r="G3047" s="2">
        <v>0</v>
      </c>
    </row>
    <row r="3048" spans="1:7" x14ac:dyDescent="0.25">
      <c r="A3048" s="2" t="s">
        <v>118</v>
      </c>
      <c r="B3048" s="2" t="s">
        <v>174</v>
      </c>
      <c r="C3048" s="2">
        <v>2</v>
      </c>
      <c r="D3048" s="2">
        <v>2</v>
      </c>
      <c r="E3048" s="2">
        <v>2</v>
      </c>
      <c r="F3048" s="2">
        <v>0</v>
      </c>
      <c r="G3048" s="2">
        <v>0</v>
      </c>
    </row>
    <row r="3049" spans="1:7" x14ac:dyDescent="0.25">
      <c r="A3049" s="2" t="s">
        <v>118</v>
      </c>
      <c r="B3049" s="2" t="s">
        <v>11</v>
      </c>
      <c r="C3049" s="2">
        <v>3</v>
      </c>
      <c r="D3049" s="2">
        <v>3</v>
      </c>
      <c r="E3049" s="2">
        <v>2</v>
      </c>
      <c r="F3049" s="2">
        <v>1</v>
      </c>
      <c r="G3049" s="2">
        <v>0</v>
      </c>
    </row>
    <row r="3050" spans="1:7" x14ac:dyDescent="0.25">
      <c r="A3050" s="2" t="s">
        <v>118</v>
      </c>
      <c r="B3050" s="2" t="s">
        <v>176</v>
      </c>
      <c r="C3050" s="2">
        <v>2</v>
      </c>
      <c r="D3050" s="2">
        <v>1</v>
      </c>
      <c r="E3050" s="2">
        <v>1</v>
      </c>
      <c r="F3050" s="2">
        <v>0</v>
      </c>
      <c r="G3050" s="2">
        <v>0</v>
      </c>
    </row>
    <row r="3051" spans="1:7" x14ac:dyDescent="0.25">
      <c r="A3051" s="2" t="s">
        <v>118</v>
      </c>
      <c r="B3051" s="2" t="s">
        <v>175</v>
      </c>
      <c r="C3051" s="2">
        <v>6</v>
      </c>
      <c r="D3051" s="2">
        <v>4</v>
      </c>
      <c r="E3051" s="2">
        <v>4</v>
      </c>
      <c r="F3051" s="2">
        <v>0</v>
      </c>
      <c r="G3051" s="2">
        <v>0</v>
      </c>
    </row>
    <row r="3052" spans="1:7" x14ac:dyDescent="0.25">
      <c r="A3052" s="2" t="s">
        <v>87</v>
      </c>
      <c r="B3052" s="2" t="s">
        <v>11</v>
      </c>
      <c r="C3052" s="2">
        <v>1</v>
      </c>
      <c r="D3052" s="2">
        <v>1</v>
      </c>
      <c r="E3052" s="2">
        <v>1</v>
      </c>
      <c r="F3052" s="2">
        <v>0</v>
      </c>
      <c r="G3052" s="2">
        <v>0</v>
      </c>
    </row>
    <row r="3053" spans="1:7" x14ac:dyDescent="0.25">
      <c r="A3053" s="2" t="s">
        <v>87</v>
      </c>
      <c r="B3053" s="2" t="s">
        <v>174</v>
      </c>
      <c r="C3053" s="2">
        <v>4</v>
      </c>
      <c r="D3053" s="2">
        <v>3</v>
      </c>
      <c r="E3053" s="2">
        <v>2</v>
      </c>
      <c r="F3053" s="2">
        <v>1</v>
      </c>
      <c r="G3053" s="2">
        <v>0</v>
      </c>
    </row>
    <row r="3054" spans="1:7" x14ac:dyDescent="0.25">
      <c r="A3054" s="2" t="s">
        <v>87</v>
      </c>
      <c r="B3054" s="2" t="s">
        <v>176</v>
      </c>
      <c r="C3054" s="2">
        <v>1</v>
      </c>
      <c r="D3054" s="2">
        <v>1</v>
      </c>
      <c r="E3054" s="2">
        <v>1</v>
      </c>
      <c r="F3054" s="2">
        <v>0</v>
      </c>
      <c r="G3054" s="2">
        <v>0</v>
      </c>
    </row>
    <row r="3055" spans="1:7" x14ac:dyDescent="0.25">
      <c r="A3055" s="2" t="s">
        <v>87</v>
      </c>
      <c r="B3055" s="2" t="s">
        <v>175</v>
      </c>
      <c r="C3055" s="2">
        <v>7</v>
      </c>
      <c r="D3055" s="2">
        <v>7</v>
      </c>
      <c r="E3055" s="2">
        <v>6</v>
      </c>
      <c r="F3055" s="2">
        <v>1</v>
      </c>
      <c r="G3055" s="2">
        <v>0</v>
      </c>
    </row>
    <row r="3056" spans="1:7" x14ac:dyDescent="0.25">
      <c r="A3056" s="2" t="s">
        <v>155</v>
      </c>
      <c r="B3056" s="2" t="s">
        <v>3</v>
      </c>
      <c r="C3056" s="2">
        <v>1</v>
      </c>
      <c r="D3056" s="2">
        <v>1</v>
      </c>
      <c r="E3056" s="2">
        <v>1</v>
      </c>
      <c r="F3056" s="2">
        <v>0</v>
      </c>
      <c r="G3056" s="2">
        <v>0</v>
      </c>
    </row>
    <row r="3057" spans="1:7" x14ac:dyDescent="0.25">
      <c r="A3057" s="2" t="s">
        <v>155</v>
      </c>
      <c r="B3057" s="2" t="s">
        <v>11</v>
      </c>
      <c r="C3057" s="2">
        <v>17</v>
      </c>
      <c r="D3057" s="2">
        <v>17</v>
      </c>
      <c r="E3057" s="2">
        <v>13</v>
      </c>
      <c r="F3057" s="2">
        <v>4</v>
      </c>
      <c r="G3057" s="2">
        <v>0</v>
      </c>
    </row>
    <row r="3058" spans="1:7" x14ac:dyDescent="0.25">
      <c r="A3058" s="2" t="s">
        <v>155</v>
      </c>
      <c r="B3058" s="2" t="s">
        <v>175</v>
      </c>
      <c r="C3058" s="2">
        <v>22</v>
      </c>
      <c r="D3058" s="2">
        <v>21</v>
      </c>
      <c r="E3058" s="2">
        <v>19</v>
      </c>
      <c r="F3058" s="2">
        <v>2</v>
      </c>
      <c r="G3058" s="2">
        <v>0</v>
      </c>
    </row>
    <row r="3059" spans="1:7" x14ac:dyDescent="0.25">
      <c r="A3059" s="2" t="s">
        <v>155</v>
      </c>
      <c r="B3059" s="2" t="s">
        <v>176</v>
      </c>
      <c r="C3059" s="2">
        <v>23</v>
      </c>
      <c r="D3059" s="2">
        <v>23</v>
      </c>
      <c r="E3059" s="2">
        <v>21</v>
      </c>
      <c r="F3059" s="2">
        <v>2</v>
      </c>
      <c r="G3059" s="2">
        <v>0</v>
      </c>
    </row>
    <row r="3060" spans="1:7" x14ac:dyDescent="0.25">
      <c r="A3060" s="2" t="s">
        <v>155</v>
      </c>
      <c r="B3060" s="2" t="s">
        <v>174</v>
      </c>
      <c r="C3060" s="2">
        <v>29</v>
      </c>
      <c r="D3060" s="2">
        <v>29</v>
      </c>
      <c r="E3060" s="2">
        <v>24</v>
      </c>
      <c r="F3060" s="2">
        <v>5</v>
      </c>
      <c r="G3060" s="2">
        <v>0</v>
      </c>
    </row>
    <row r="3061" spans="1:7" x14ac:dyDescent="0.25">
      <c r="A3061" s="2" t="s">
        <v>81</v>
      </c>
      <c r="B3061" s="2" t="s">
        <v>174</v>
      </c>
      <c r="C3061" s="2">
        <v>5</v>
      </c>
      <c r="D3061" s="2">
        <v>5</v>
      </c>
      <c r="E3061" s="2">
        <v>2</v>
      </c>
      <c r="F3061" s="2">
        <v>3</v>
      </c>
      <c r="G3061" s="2">
        <v>0</v>
      </c>
    </row>
    <row r="3062" spans="1:7" x14ac:dyDescent="0.25">
      <c r="A3062" s="2" t="s">
        <v>81</v>
      </c>
      <c r="B3062" s="2" t="s">
        <v>11</v>
      </c>
      <c r="C3062" s="2">
        <v>2</v>
      </c>
      <c r="D3062" s="2">
        <v>2</v>
      </c>
      <c r="E3062" s="2">
        <v>2</v>
      </c>
      <c r="F3062" s="2">
        <v>0</v>
      </c>
      <c r="G3062" s="2">
        <v>0</v>
      </c>
    </row>
    <row r="3063" spans="1:7" x14ac:dyDescent="0.25">
      <c r="A3063" s="2" t="s">
        <v>81</v>
      </c>
      <c r="B3063" s="2" t="s">
        <v>182</v>
      </c>
      <c r="C3063" s="2">
        <v>1</v>
      </c>
      <c r="D3063" s="2">
        <v>1</v>
      </c>
      <c r="E3063" s="2">
        <v>1</v>
      </c>
      <c r="F3063" s="2">
        <v>0</v>
      </c>
      <c r="G3063" s="2">
        <v>0</v>
      </c>
    </row>
    <row r="3064" spans="1:7" x14ac:dyDescent="0.25">
      <c r="A3064" s="2" t="s">
        <v>81</v>
      </c>
      <c r="B3064" s="2" t="s">
        <v>176</v>
      </c>
      <c r="C3064" s="2">
        <v>5</v>
      </c>
      <c r="D3064" s="2">
        <v>5</v>
      </c>
      <c r="E3064" s="2">
        <v>5</v>
      </c>
      <c r="F3064" s="2">
        <v>0</v>
      </c>
      <c r="G3064" s="2">
        <v>0</v>
      </c>
    </row>
    <row r="3065" spans="1:7" x14ac:dyDescent="0.25">
      <c r="A3065" s="2" t="s">
        <v>81</v>
      </c>
      <c r="B3065" s="2" t="s">
        <v>175</v>
      </c>
      <c r="C3065" s="2">
        <v>7</v>
      </c>
      <c r="D3065" s="2">
        <v>6</v>
      </c>
      <c r="E3065" s="2">
        <v>4</v>
      </c>
      <c r="F3065" s="2">
        <v>2</v>
      </c>
      <c r="G3065" s="2">
        <v>0</v>
      </c>
    </row>
    <row r="3066" spans="1:7" x14ac:dyDescent="0.25">
      <c r="A3066" s="2" t="s">
        <v>66</v>
      </c>
      <c r="B3066" s="2" t="s">
        <v>3</v>
      </c>
      <c r="C3066" s="2">
        <v>1</v>
      </c>
      <c r="D3066" s="2">
        <v>1</v>
      </c>
      <c r="E3066" s="2">
        <v>1</v>
      </c>
      <c r="F3066" s="2">
        <v>0</v>
      </c>
      <c r="G3066" s="2">
        <v>0</v>
      </c>
    </row>
    <row r="3067" spans="1:7" x14ac:dyDescent="0.25">
      <c r="A3067" s="2" t="s">
        <v>66</v>
      </c>
      <c r="B3067" s="2" t="s">
        <v>174</v>
      </c>
      <c r="C3067" s="2">
        <v>2</v>
      </c>
      <c r="D3067" s="2">
        <v>2</v>
      </c>
      <c r="E3067" s="2">
        <v>2</v>
      </c>
      <c r="F3067" s="2">
        <v>0</v>
      </c>
      <c r="G3067" s="2">
        <v>0</v>
      </c>
    </row>
    <row r="3068" spans="1:7" x14ac:dyDescent="0.25">
      <c r="A3068" s="2" t="s">
        <v>66</v>
      </c>
      <c r="B3068" s="2" t="s">
        <v>175</v>
      </c>
      <c r="C3068" s="2">
        <v>3</v>
      </c>
      <c r="D3068" s="2">
        <v>3</v>
      </c>
      <c r="E3068" s="2">
        <v>3</v>
      </c>
      <c r="F3068" s="2">
        <v>0</v>
      </c>
      <c r="G3068" s="2">
        <v>0</v>
      </c>
    </row>
    <row r="3069" spans="1:7" x14ac:dyDescent="0.25">
      <c r="A3069" s="2" t="s">
        <v>66</v>
      </c>
      <c r="B3069" s="2" t="s">
        <v>176</v>
      </c>
      <c r="C3069" s="2">
        <v>5</v>
      </c>
      <c r="D3069" s="2">
        <v>5</v>
      </c>
      <c r="E3069" s="2">
        <v>5</v>
      </c>
      <c r="F3069" s="2">
        <v>0</v>
      </c>
      <c r="G3069" s="2">
        <v>0</v>
      </c>
    </row>
    <row r="3070" spans="1:7" x14ac:dyDescent="0.25">
      <c r="A3070" s="2" t="s">
        <v>171</v>
      </c>
      <c r="B3070" s="2" t="s">
        <v>176</v>
      </c>
      <c r="C3070" s="2">
        <v>3</v>
      </c>
      <c r="D3070" s="2">
        <v>3</v>
      </c>
      <c r="E3070" s="2">
        <v>3</v>
      </c>
      <c r="F3070" s="2">
        <v>0</v>
      </c>
      <c r="G3070" s="2">
        <v>0</v>
      </c>
    </row>
    <row r="3071" spans="1:7" x14ac:dyDescent="0.25">
      <c r="A3071" s="2" t="s">
        <v>171</v>
      </c>
      <c r="B3071" s="2" t="s">
        <v>174</v>
      </c>
      <c r="C3071" s="2">
        <v>7</v>
      </c>
      <c r="D3071" s="2">
        <v>7</v>
      </c>
      <c r="E3071" s="2">
        <v>5</v>
      </c>
      <c r="F3071" s="2">
        <v>2</v>
      </c>
      <c r="G3071" s="2">
        <v>0</v>
      </c>
    </row>
    <row r="3072" spans="1:7" x14ac:dyDescent="0.25">
      <c r="A3072" s="2" t="s">
        <v>171</v>
      </c>
      <c r="B3072" s="2" t="s">
        <v>11</v>
      </c>
      <c r="C3072" s="2">
        <v>2</v>
      </c>
      <c r="D3072" s="2">
        <v>2</v>
      </c>
      <c r="E3072" s="2">
        <v>1</v>
      </c>
      <c r="F3072" s="2">
        <v>1</v>
      </c>
      <c r="G3072" s="2">
        <v>0</v>
      </c>
    </row>
    <row r="3073" spans="1:7" x14ac:dyDescent="0.25">
      <c r="A3073" s="2" t="s">
        <v>171</v>
      </c>
      <c r="B3073" s="2" t="s">
        <v>175</v>
      </c>
      <c r="C3073" s="2">
        <v>6</v>
      </c>
      <c r="D3073" s="2">
        <v>6</v>
      </c>
      <c r="E3073" s="2">
        <v>5</v>
      </c>
      <c r="F3073" s="2">
        <v>1</v>
      </c>
      <c r="G3073" s="2">
        <v>0</v>
      </c>
    </row>
    <row r="3074" spans="1:7" x14ac:dyDescent="0.25">
      <c r="A3074" s="2" t="s">
        <v>43</v>
      </c>
      <c r="B3074" s="2" t="s">
        <v>3</v>
      </c>
      <c r="C3074" s="2">
        <v>1</v>
      </c>
      <c r="D3074" s="2">
        <v>1</v>
      </c>
      <c r="E3074" s="2">
        <v>0</v>
      </c>
      <c r="F3074" s="2">
        <v>1</v>
      </c>
      <c r="G3074" s="2">
        <v>0</v>
      </c>
    </row>
    <row r="3075" spans="1:7" x14ac:dyDescent="0.25">
      <c r="A3075" s="2" t="s">
        <v>43</v>
      </c>
      <c r="B3075" s="2" t="s">
        <v>175</v>
      </c>
      <c r="C3075" s="2">
        <v>4</v>
      </c>
      <c r="D3075" s="2">
        <v>4</v>
      </c>
      <c r="E3075" s="2">
        <v>2</v>
      </c>
      <c r="F3075" s="2">
        <v>2</v>
      </c>
      <c r="G3075" s="2">
        <v>0</v>
      </c>
    </row>
    <row r="3076" spans="1:7" x14ac:dyDescent="0.25">
      <c r="A3076" s="2" t="s">
        <v>43</v>
      </c>
      <c r="B3076" s="2" t="s">
        <v>176</v>
      </c>
      <c r="C3076" s="2">
        <v>3</v>
      </c>
      <c r="D3076" s="2">
        <v>3</v>
      </c>
      <c r="E3076" s="2">
        <v>2</v>
      </c>
      <c r="F3076" s="2">
        <v>1</v>
      </c>
      <c r="G3076" s="2">
        <v>0</v>
      </c>
    </row>
    <row r="3077" spans="1:7" x14ac:dyDescent="0.25">
      <c r="A3077" s="2" t="s">
        <v>111</v>
      </c>
      <c r="B3077" s="2" t="s">
        <v>11</v>
      </c>
      <c r="C3077" s="2">
        <v>2</v>
      </c>
      <c r="D3077" s="2">
        <v>2</v>
      </c>
      <c r="E3077" s="2">
        <v>2</v>
      </c>
      <c r="F3077" s="2">
        <v>0</v>
      </c>
      <c r="G3077" s="2">
        <v>0</v>
      </c>
    </row>
    <row r="3078" spans="1:7" x14ac:dyDescent="0.25">
      <c r="A3078" s="2" t="s">
        <v>111</v>
      </c>
      <c r="B3078" s="2" t="s">
        <v>175</v>
      </c>
      <c r="C3078" s="2">
        <v>9</v>
      </c>
      <c r="D3078" s="2">
        <v>9</v>
      </c>
      <c r="E3078" s="2">
        <v>6</v>
      </c>
      <c r="F3078" s="2">
        <v>3</v>
      </c>
      <c r="G3078" s="2">
        <v>0</v>
      </c>
    </row>
    <row r="3079" spans="1:7" x14ac:dyDescent="0.25">
      <c r="A3079" s="2" t="s">
        <v>111</v>
      </c>
      <c r="B3079" s="2" t="s">
        <v>176</v>
      </c>
      <c r="C3079" s="2">
        <v>8</v>
      </c>
      <c r="D3079" s="2">
        <v>8</v>
      </c>
      <c r="E3079" s="2">
        <v>5</v>
      </c>
      <c r="F3079" s="2">
        <v>3</v>
      </c>
      <c r="G3079" s="2">
        <v>0</v>
      </c>
    </row>
    <row r="3080" spans="1:7" x14ac:dyDescent="0.25">
      <c r="A3080" s="2" t="s">
        <v>111</v>
      </c>
      <c r="B3080" s="2" t="s">
        <v>174</v>
      </c>
      <c r="C3080" s="2">
        <v>7</v>
      </c>
      <c r="D3080" s="2">
        <v>7</v>
      </c>
      <c r="E3080" s="2">
        <v>6</v>
      </c>
      <c r="F3080" s="2">
        <v>1</v>
      </c>
      <c r="G3080" s="2">
        <v>0</v>
      </c>
    </row>
    <row r="3081" spans="1:7" x14ac:dyDescent="0.25">
      <c r="A3081" s="2" t="s">
        <v>35</v>
      </c>
      <c r="B3081" s="2" t="s">
        <v>174</v>
      </c>
      <c r="C3081" s="2">
        <v>8</v>
      </c>
      <c r="D3081" s="2">
        <v>8</v>
      </c>
      <c r="E3081" s="2">
        <v>7</v>
      </c>
      <c r="F3081" s="2">
        <v>1</v>
      </c>
      <c r="G3081" s="2">
        <v>0</v>
      </c>
    </row>
    <row r="3082" spans="1:7" x14ac:dyDescent="0.25">
      <c r="A3082" s="2" t="s">
        <v>35</v>
      </c>
      <c r="B3082" s="2" t="s">
        <v>175</v>
      </c>
      <c r="C3082" s="2">
        <v>8</v>
      </c>
      <c r="D3082" s="2">
        <v>8</v>
      </c>
      <c r="E3082" s="2">
        <v>7</v>
      </c>
      <c r="F3082" s="2">
        <v>1</v>
      </c>
      <c r="G3082" s="2">
        <v>0</v>
      </c>
    </row>
    <row r="3083" spans="1:7" x14ac:dyDescent="0.25">
      <c r="A3083" s="2" t="s">
        <v>35</v>
      </c>
      <c r="B3083" s="2" t="s">
        <v>3</v>
      </c>
      <c r="C3083" s="2">
        <v>1</v>
      </c>
      <c r="D3083" s="2">
        <v>1</v>
      </c>
      <c r="E3083" s="2">
        <v>1</v>
      </c>
      <c r="F3083" s="2">
        <v>0</v>
      </c>
      <c r="G3083" s="2">
        <v>0</v>
      </c>
    </row>
    <row r="3084" spans="1:7" x14ac:dyDescent="0.25">
      <c r="A3084" s="2" t="s">
        <v>35</v>
      </c>
      <c r="B3084" s="2" t="s">
        <v>176</v>
      </c>
      <c r="C3084" s="2">
        <v>8</v>
      </c>
      <c r="D3084" s="2">
        <v>8</v>
      </c>
      <c r="E3084" s="2">
        <v>8</v>
      </c>
      <c r="F3084" s="2">
        <v>0</v>
      </c>
      <c r="G3084" s="2">
        <v>0</v>
      </c>
    </row>
    <row r="3085" spans="1:7" x14ac:dyDescent="0.25">
      <c r="A3085" s="2" t="s">
        <v>35</v>
      </c>
      <c r="B3085" s="2" t="s">
        <v>11</v>
      </c>
      <c r="C3085" s="2">
        <v>6</v>
      </c>
      <c r="D3085" s="2">
        <v>6</v>
      </c>
      <c r="E3085" s="2">
        <v>5</v>
      </c>
      <c r="F3085" s="2">
        <v>1</v>
      </c>
      <c r="G3085" s="2">
        <v>0</v>
      </c>
    </row>
    <row r="3086" spans="1:7" x14ac:dyDescent="0.25">
      <c r="A3086" s="2" t="s">
        <v>163</v>
      </c>
      <c r="B3086" s="2" t="s">
        <v>176</v>
      </c>
      <c r="C3086" s="2">
        <v>4</v>
      </c>
      <c r="D3086" s="2">
        <v>4</v>
      </c>
      <c r="E3086" s="2">
        <v>3</v>
      </c>
      <c r="F3086" s="2">
        <v>1</v>
      </c>
      <c r="G3086" s="2">
        <v>0</v>
      </c>
    </row>
    <row r="3087" spans="1:7" x14ac:dyDescent="0.25">
      <c r="A3087" s="2" t="s">
        <v>163</v>
      </c>
      <c r="B3087" s="2" t="s">
        <v>11</v>
      </c>
      <c r="C3087" s="2">
        <v>2</v>
      </c>
      <c r="D3087" s="2">
        <v>2</v>
      </c>
      <c r="E3087" s="2">
        <v>2</v>
      </c>
      <c r="F3087" s="2">
        <v>0</v>
      </c>
      <c r="G3087" s="2">
        <v>0</v>
      </c>
    </row>
    <row r="3088" spans="1:7" x14ac:dyDescent="0.25">
      <c r="A3088" s="2" t="s">
        <v>163</v>
      </c>
      <c r="B3088" s="2" t="s">
        <v>174</v>
      </c>
      <c r="C3088" s="2">
        <v>8</v>
      </c>
      <c r="D3088" s="2">
        <v>8</v>
      </c>
      <c r="E3088" s="2">
        <v>7</v>
      </c>
      <c r="F3088" s="2">
        <v>1</v>
      </c>
      <c r="G3088" s="2">
        <v>0</v>
      </c>
    </row>
    <row r="3089" spans="1:7" x14ac:dyDescent="0.25">
      <c r="A3089" s="2" t="s">
        <v>163</v>
      </c>
      <c r="B3089" s="2" t="s">
        <v>175</v>
      </c>
      <c r="C3089" s="2">
        <v>3</v>
      </c>
      <c r="D3089" s="2">
        <v>3</v>
      </c>
      <c r="E3089" s="2">
        <v>3</v>
      </c>
      <c r="F3089" s="2">
        <v>0</v>
      </c>
      <c r="G3089" s="2">
        <v>0</v>
      </c>
    </row>
    <row r="3090" spans="1:7" x14ac:dyDescent="0.25">
      <c r="A3090" s="2" t="s">
        <v>113</v>
      </c>
      <c r="B3090" s="2" t="s">
        <v>175</v>
      </c>
      <c r="C3090" s="2">
        <v>7</v>
      </c>
      <c r="D3090" s="2">
        <v>7</v>
      </c>
      <c r="E3090" s="2">
        <v>1</v>
      </c>
      <c r="F3090" s="2">
        <v>6</v>
      </c>
      <c r="G3090" s="2">
        <v>0</v>
      </c>
    </row>
    <row r="3091" spans="1:7" x14ac:dyDescent="0.25">
      <c r="A3091" s="2" t="s">
        <v>113</v>
      </c>
      <c r="B3091" s="2" t="s">
        <v>174</v>
      </c>
      <c r="C3091" s="2">
        <v>5</v>
      </c>
      <c r="D3091" s="2">
        <v>5</v>
      </c>
      <c r="E3091" s="2">
        <v>3</v>
      </c>
      <c r="F3091" s="2">
        <v>2</v>
      </c>
      <c r="G3091" s="2">
        <v>0</v>
      </c>
    </row>
    <row r="3092" spans="1:7" x14ac:dyDescent="0.25">
      <c r="A3092" s="2" t="s">
        <v>113</v>
      </c>
      <c r="B3092" s="2" t="s">
        <v>11</v>
      </c>
      <c r="C3092" s="2">
        <v>1</v>
      </c>
      <c r="D3092" s="2">
        <v>1</v>
      </c>
      <c r="E3092" s="2">
        <v>1</v>
      </c>
      <c r="F3092" s="2">
        <v>0</v>
      </c>
      <c r="G3092" s="2">
        <v>0</v>
      </c>
    </row>
    <row r="3093" spans="1:7" x14ac:dyDescent="0.25">
      <c r="A3093" s="2" t="s">
        <v>113</v>
      </c>
      <c r="B3093" s="2" t="s">
        <v>176</v>
      </c>
      <c r="C3093" s="2">
        <v>2</v>
      </c>
      <c r="D3093" s="2">
        <v>2</v>
      </c>
      <c r="E3093" s="2">
        <v>2</v>
      </c>
      <c r="F3093" s="2">
        <v>0</v>
      </c>
      <c r="G3093" s="2">
        <v>0</v>
      </c>
    </row>
    <row r="3094" spans="1:7" x14ac:dyDescent="0.25">
      <c r="A3094" s="2" t="s">
        <v>160</v>
      </c>
      <c r="B3094" s="2" t="s">
        <v>174</v>
      </c>
      <c r="C3094" s="2">
        <v>4</v>
      </c>
      <c r="D3094" s="2">
        <v>4</v>
      </c>
      <c r="E3094" s="2">
        <v>4</v>
      </c>
      <c r="F3094" s="2">
        <v>0</v>
      </c>
      <c r="G3094" s="2">
        <v>0</v>
      </c>
    </row>
    <row r="3095" spans="1:7" x14ac:dyDescent="0.25">
      <c r="A3095" s="2" t="s">
        <v>160</v>
      </c>
      <c r="B3095" s="2" t="s">
        <v>176</v>
      </c>
      <c r="C3095" s="2">
        <v>4</v>
      </c>
      <c r="D3095" s="2">
        <v>4</v>
      </c>
      <c r="E3095" s="2">
        <v>3</v>
      </c>
      <c r="F3095" s="2">
        <v>1</v>
      </c>
      <c r="G3095" s="2">
        <v>0</v>
      </c>
    </row>
    <row r="3096" spans="1:7" x14ac:dyDescent="0.25">
      <c r="A3096" s="2" t="s">
        <v>160</v>
      </c>
      <c r="B3096" s="2" t="s">
        <v>175</v>
      </c>
      <c r="C3096" s="2">
        <v>1</v>
      </c>
      <c r="D3096" s="2">
        <v>1</v>
      </c>
      <c r="E3096" s="2">
        <v>1</v>
      </c>
      <c r="F3096" s="2">
        <v>0</v>
      </c>
      <c r="G3096" s="2">
        <v>0</v>
      </c>
    </row>
    <row r="3097" spans="1:7" x14ac:dyDescent="0.25">
      <c r="A3097" s="2" t="s">
        <v>164</v>
      </c>
      <c r="B3097" s="2" t="s">
        <v>175</v>
      </c>
      <c r="C3097" s="2">
        <v>5</v>
      </c>
      <c r="D3097" s="2">
        <v>5</v>
      </c>
      <c r="E3097" s="2">
        <v>4</v>
      </c>
      <c r="F3097" s="2">
        <v>1</v>
      </c>
      <c r="G3097" s="2">
        <v>0</v>
      </c>
    </row>
    <row r="3098" spans="1:7" x14ac:dyDescent="0.25">
      <c r="A3098" s="2" t="s">
        <v>164</v>
      </c>
      <c r="B3098" s="2" t="s">
        <v>11</v>
      </c>
      <c r="C3098" s="2">
        <v>3</v>
      </c>
      <c r="D3098" s="2">
        <v>3</v>
      </c>
      <c r="E3098" s="2">
        <v>2</v>
      </c>
      <c r="F3098" s="2">
        <v>1</v>
      </c>
      <c r="G3098" s="2">
        <v>0</v>
      </c>
    </row>
    <row r="3099" spans="1:7" x14ac:dyDescent="0.25">
      <c r="A3099" s="2" t="s">
        <v>164</v>
      </c>
      <c r="B3099" s="2" t="s">
        <v>174</v>
      </c>
      <c r="C3099" s="2">
        <v>3</v>
      </c>
      <c r="D3099" s="2">
        <v>3</v>
      </c>
      <c r="E3099" s="2">
        <v>2</v>
      </c>
      <c r="F3099" s="2">
        <v>1</v>
      </c>
      <c r="G3099" s="2">
        <v>0</v>
      </c>
    </row>
    <row r="3100" spans="1:7" x14ac:dyDescent="0.25">
      <c r="A3100" s="2" t="s">
        <v>164</v>
      </c>
      <c r="B3100" s="2" t="s">
        <v>176</v>
      </c>
      <c r="C3100" s="2">
        <v>3</v>
      </c>
      <c r="D3100" s="2">
        <v>3</v>
      </c>
      <c r="E3100" s="2">
        <v>3</v>
      </c>
      <c r="F3100" s="2">
        <v>0</v>
      </c>
      <c r="G3100" s="2">
        <v>0</v>
      </c>
    </row>
    <row r="3101" spans="1:7" x14ac:dyDescent="0.25">
      <c r="A3101" s="2" t="s">
        <v>142</v>
      </c>
      <c r="B3101" s="2" t="s">
        <v>176</v>
      </c>
      <c r="C3101" s="2">
        <v>3</v>
      </c>
      <c r="D3101" s="2">
        <v>3</v>
      </c>
      <c r="E3101" s="2">
        <v>3</v>
      </c>
      <c r="F3101" s="2">
        <v>0</v>
      </c>
      <c r="G3101" s="2">
        <v>0</v>
      </c>
    </row>
    <row r="3102" spans="1:7" x14ac:dyDescent="0.25">
      <c r="A3102" s="2" t="s">
        <v>142</v>
      </c>
      <c r="B3102" s="2" t="s">
        <v>11</v>
      </c>
      <c r="C3102" s="2">
        <v>1</v>
      </c>
      <c r="D3102" s="2">
        <v>1</v>
      </c>
      <c r="E3102" s="2">
        <v>1</v>
      </c>
      <c r="F3102" s="2">
        <v>0</v>
      </c>
      <c r="G3102" s="2">
        <v>0</v>
      </c>
    </row>
    <row r="3103" spans="1:7" x14ac:dyDescent="0.25">
      <c r="A3103" s="2" t="s">
        <v>142</v>
      </c>
      <c r="B3103" s="2" t="s">
        <v>175</v>
      </c>
      <c r="C3103" s="2">
        <v>1</v>
      </c>
      <c r="D3103" s="2">
        <v>1</v>
      </c>
      <c r="E3103" s="2">
        <v>1</v>
      </c>
      <c r="F3103" s="2">
        <v>0</v>
      </c>
      <c r="G3103" s="2">
        <v>0</v>
      </c>
    </row>
    <row r="3104" spans="1:7" x14ac:dyDescent="0.25">
      <c r="A3104" s="2" t="s">
        <v>105</v>
      </c>
      <c r="B3104" s="2" t="s">
        <v>3</v>
      </c>
      <c r="C3104" s="2">
        <v>1</v>
      </c>
      <c r="D3104" s="2">
        <v>1</v>
      </c>
      <c r="E3104" s="2">
        <v>1</v>
      </c>
      <c r="F3104" s="2">
        <v>0</v>
      </c>
      <c r="G3104" s="2">
        <v>0</v>
      </c>
    </row>
    <row r="3105" spans="1:7" x14ac:dyDescent="0.25">
      <c r="A3105" s="2" t="s">
        <v>105</v>
      </c>
      <c r="B3105" s="2" t="s">
        <v>175</v>
      </c>
      <c r="C3105" s="2">
        <v>11</v>
      </c>
      <c r="D3105" s="2">
        <v>11</v>
      </c>
      <c r="E3105" s="2">
        <v>10</v>
      </c>
      <c r="F3105" s="2">
        <v>1</v>
      </c>
      <c r="G3105" s="2">
        <v>0</v>
      </c>
    </row>
    <row r="3106" spans="1:7" x14ac:dyDescent="0.25">
      <c r="A3106" s="2" t="s">
        <v>105</v>
      </c>
      <c r="B3106" s="2" t="s">
        <v>174</v>
      </c>
      <c r="C3106" s="2">
        <v>4</v>
      </c>
      <c r="D3106" s="2">
        <v>4</v>
      </c>
      <c r="E3106" s="2">
        <v>3</v>
      </c>
      <c r="F3106" s="2">
        <v>1</v>
      </c>
      <c r="G3106" s="2">
        <v>0</v>
      </c>
    </row>
    <row r="3107" spans="1:7" x14ac:dyDescent="0.25">
      <c r="A3107" s="2" t="s">
        <v>105</v>
      </c>
      <c r="B3107" s="2" t="s">
        <v>176</v>
      </c>
      <c r="C3107" s="2">
        <v>7</v>
      </c>
      <c r="D3107" s="2">
        <v>7</v>
      </c>
      <c r="E3107" s="2">
        <v>6</v>
      </c>
      <c r="F3107" s="2">
        <v>1</v>
      </c>
      <c r="G3107" s="2">
        <v>0</v>
      </c>
    </row>
    <row r="3108" spans="1:7" x14ac:dyDescent="0.25">
      <c r="A3108" s="2" t="s">
        <v>172</v>
      </c>
      <c r="B3108" s="2" t="s">
        <v>176</v>
      </c>
      <c r="C3108" s="2">
        <v>1</v>
      </c>
      <c r="D3108" s="2">
        <v>1</v>
      </c>
      <c r="E3108" s="2">
        <v>1</v>
      </c>
      <c r="F3108" s="2">
        <v>0</v>
      </c>
      <c r="G3108" s="2">
        <v>0</v>
      </c>
    </row>
    <row r="3109" spans="1:7" x14ac:dyDescent="0.25">
      <c r="A3109" s="2" t="s">
        <v>172</v>
      </c>
      <c r="B3109" s="2" t="s">
        <v>175</v>
      </c>
      <c r="C3109" s="2">
        <v>2</v>
      </c>
      <c r="D3109" s="2">
        <v>2</v>
      </c>
      <c r="E3109" s="2">
        <v>1</v>
      </c>
      <c r="F3109" s="2">
        <v>1</v>
      </c>
      <c r="G3109" s="2">
        <v>0</v>
      </c>
    </row>
    <row r="3110" spans="1:7" x14ac:dyDescent="0.25">
      <c r="A3110" s="2" t="s">
        <v>172</v>
      </c>
      <c r="B3110" s="2" t="s">
        <v>174</v>
      </c>
      <c r="C3110" s="2">
        <v>1</v>
      </c>
      <c r="D3110" s="2">
        <v>1</v>
      </c>
      <c r="E3110" s="2">
        <v>1</v>
      </c>
      <c r="F3110" s="2">
        <v>0</v>
      </c>
      <c r="G3110" s="2">
        <v>0</v>
      </c>
    </row>
    <row r="3111" spans="1:7" x14ac:dyDescent="0.25">
      <c r="A3111" s="2" t="s">
        <v>138</v>
      </c>
      <c r="B3111" s="2" t="s">
        <v>174</v>
      </c>
      <c r="C3111" s="2">
        <v>4</v>
      </c>
      <c r="D3111" s="2">
        <v>4</v>
      </c>
      <c r="E3111" s="2">
        <v>4</v>
      </c>
      <c r="F3111" s="2">
        <v>0</v>
      </c>
      <c r="G3111" s="2">
        <v>0</v>
      </c>
    </row>
    <row r="3112" spans="1:7" x14ac:dyDescent="0.25">
      <c r="A3112" s="2" t="s">
        <v>138</v>
      </c>
      <c r="B3112" s="2" t="s">
        <v>176</v>
      </c>
      <c r="C3112" s="2">
        <v>2</v>
      </c>
      <c r="D3112" s="2">
        <v>2</v>
      </c>
      <c r="E3112" s="2">
        <v>2</v>
      </c>
      <c r="F3112" s="2">
        <v>0</v>
      </c>
      <c r="G3112" s="2">
        <v>0</v>
      </c>
    </row>
    <row r="3113" spans="1:7" x14ac:dyDescent="0.25">
      <c r="A3113" s="2" t="s">
        <v>138</v>
      </c>
      <c r="B3113" s="2" t="s">
        <v>175</v>
      </c>
      <c r="C3113" s="2">
        <v>5</v>
      </c>
      <c r="D3113" s="2">
        <v>5</v>
      </c>
      <c r="E3113" s="2">
        <v>3</v>
      </c>
      <c r="F3113" s="2">
        <v>2</v>
      </c>
      <c r="G3113" s="2">
        <v>0</v>
      </c>
    </row>
    <row r="3114" spans="1:7" x14ac:dyDescent="0.25">
      <c r="A3114" s="2" t="s">
        <v>138</v>
      </c>
      <c r="B3114" s="2" t="s">
        <v>11</v>
      </c>
      <c r="C3114" s="2">
        <v>3</v>
      </c>
      <c r="D3114" s="2">
        <v>3</v>
      </c>
      <c r="E3114" s="2">
        <v>2</v>
      </c>
      <c r="F3114" s="2">
        <v>1</v>
      </c>
      <c r="G3114" s="2">
        <v>0</v>
      </c>
    </row>
    <row r="3115" spans="1:7" x14ac:dyDescent="0.25">
      <c r="A3115" s="2" t="s">
        <v>55</v>
      </c>
      <c r="B3115" s="2" t="s">
        <v>176</v>
      </c>
      <c r="C3115" s="2">
        <v>20</v>
      </c>
      <c r="D3115" s="2">
        <v>20</v>
      </c>
      <c r="E3115" s="2">
        <v>19</v>
      </c>
      <c r="F3115" s="2">
        <v>1</v>
      </c>
      <c r="G3115" s="2">
        <v>0</v>
      </c>
    </row>
    <row r="3116" spans="1:7" x14ac:dyDescent="0.25">
      <c r="A3116" s="2" t="s">
        <v>55</v>
      </c>
      <c r="B3116" s="2" t="s">
        <v>175</v>
      </c>
      <c r="C3116" s="2">
        <v>11</v>
      </c>
      <c r="D3116" s="2">
        <v>11</v>
      </c>
      <c r="E3116" s="2">
        <v>10</v>
      </c>
      <c r="F3116" s="2">
        <v>1</v>
      </c>
      <c r="G3116" s="2">
        <v>0</v>
      </c>
    </row>
    <row r="3117" spans="1:7" x14ac:dyDescent="0.25">
      <c r="A3117" s="2" t="s">
        <v>55</v>
      </c>
      <c r="B3117" s="2" t="s">
        <v>174</v>
      </c>
      <c r="C3117" s="2">
        <v>9</v>
      </c>
      <c r="D3117" s="2">
        <v>9</v>
      </c>
      <c r="E3117" s="2">
        <v>7</v>
      </c>
      <c r="F3117" s="2">
        <v>2</v>
      </c>
      <c r="G3117" s="2">
        <v>0</v>
      </c>
    </row>
    <row r="3118" spans="1:7" x14ac:dyDescent="0.25">
      <c r="A3118" s="2" t="s">
        <v>55</v>
      </c>
      <c r="B3118" s="2" t="s">
        <v>11</v>
      </c>
      <c r="C3118" s="2">
        <v>1</v>
      </c>
      <c r="D3118" s="2">
        <v>1</v>
      </c>
      <c r="E3118" s="2">
        <v>1</v>
      </c>
      <c r="F3118" s="2">
        <v>0</v>
      </c>
      <c r="G3118" s="2">
        <v>0</v>
      </c>
    </row>
    <row r="3119" spans="1:7" x14ac:dyDescent="0.25">
      <c r="A3119" s="2" t="s">
        <v>82</v>
      </c>
      <c r="B3119" s="2" t="s">
        <v>3</v>
      </c>
      <c r="C3119" s="2">
        <v>1</v>
      </c>
      <c r="D3119" s="2">
        <v>1</v>
      </c>
      <c r="E3119" s="2">
        <v>1</v>
      </c>
      <c r="F3119" s="2">
        <v>0</v>
      </c>
      <c r="G3119" s="2">
        <v>0</v>
      </c>
    </row>
    <row r="3120" spans="1:7" x14ac:dyDescent="0.25">
      <c r="A3120" s="2" t="s">
        <v>82</v>
      </c>
      <c r="B3120" s="2" t="s">
        <v>175</v>
      </c>
      <c r="C3120" s="2">
        <v>5</v>
      </c>
      <c r="D3120" s="2">
        <v>5</v>
      </c>
      <c r="E3120" s="2">
        <v>5</v>
      </c>
      <c r="F3120" s="2">
        <v>0</v>
      </c>
      <c r="G3120" s="2">
        <v>0</v>
      </c>
    </row>
    <row r="3121" spans="1:7" x14ac:dyDescent="0.25">
      <c r="A3121" s="2" t="s">
        <v>82</v>
      </c>
      <c r="B3121" s="2" t="s">
        <v>176</v>
      </c>
      <c r="C3121" s="2">
        <v>3</v>
      </c>
      <c r="D3121" s="2">
        <v>3</v>
      </c>
      <c r="E3121" s="2">
        <v>3</v>
      </c>
      <c r="F3121" s="2">
        <v>0</v>
      </c>
      <c r="G3121" s="2">
        <v>0</v>
      </c>
    </row>
    <row r="3122" spans="1:7" x14ac:dyDescent="0.25">
      <c r="A3122" s="2" t="s">
        <v>82</v>
      </c>
      <c r="B3122" s="2" t="s">
        <v>174</v>
      </c>
      <c r="C3122" s="2">
        <v>2</v>
      </c>
      <c r="D3122" s="2">
        <v>2</v>
      </c>
      <c r="E3122" s="2">
        <v>2</v>
      </c>
      <c r="F3122" s="2">
        <v>0</v>
      </c>
      <c r="G3122" s="2">
        <v>0</v>
      </c>
    </row>
    <row r="3123" spans="1:7" x14ac:dyDescent="0.25">
      <c r="A3123" s="2" t="s">
        <v>117</v>
      </c>
      <c r="B3123" s="2" t="s">
        <v>176</v>
      </c>
      <c r="C3123" s="2">
        <v>1</v>
      </c>
      <c r="D3123" s="2">
        <v>1</v>
      </c>
      <c r="E3123" s="2">
        <v>1</v>
      </c>
      <c r="F3123" s="2">
        <v>0</v>
      </c>
      <c r="G3123" s="2">
        <v>0</v>
      </c>
    </row>
    <row r="3124" spans="1:7" x14ac:dyDescent="0.25">
      <c r="A3124" s="2" t="s">
        <v>117</v>
      </c>
      <c r="B3124" s="2" t="s">
        <v>175</v>
      </c>
      <c r="C3124" s="2">
        <v>4</v>
      </c>
      <c r="D3124" s="2">
        <v>4</v>
      </c>
      <c r="E3124" s="2">
        <v>4</v>
      </c>
      <c r="F3124" s="2">
        <v>0</v>
      </c>
      <c r="G3124" s="2">
        <v>0</v>
      </c>
    </row>
    <row r="3125" spans="1:7" x14ac:dyDescent="0.25">
      <c r="A3125" s="2" t="s">
        <v>151</v>
      </c>
      <c r="B3125" s="2" t="s">
        <v>11</v>
      </c>
      <c r="C3125" s="2">
        <v>7</v>
      </c>
      <c r="D3125" s="2">
        <v>7</v>
      </c>
      <c r="E3125" s="2">
        <v>6</v>
      </c>
      <c r="F3125" s="2">
        <v>1</v>
      </c>
      <c r="G3125" s="2">
        <v>0</v>
      </c>
    </row>
    <row r="3126" spans="1:7" x14ac:dyDescent="0.25">
      <c r="A3126" s="2" t="s">
        <v>151</v>
      </c>
      <c r="B3126" s="2" t="s">
        <v>175</v>
      </c>
      <c r="C3126" s="2">
        <v>25</v>
      </c>
      <c r="D3126" s="2">
        <v>25</v>
      </c>
      <c r="E3126" s="2">
        <v>20</v>
      </c>
      <c r="F3126" s="2">
        <v>5</v>
      </c>
      <c r="G3126" s="2">
        <v>0</v>
      </c>
    </row>
    <row r="3127" spans="1:7" x14ac:dyDescent="0.25">
      <c r="A3127" s="2" t="s">
        <v>151</v>
      </c>
      <c r="B3127" s="2" t="s">
        <v>176</v>
      </c>
      <c r="C3127" s="2">
        <v>16</v>
      </c>
      <c r="D3127" s="2">
        <v>16</v>
      </c>
      <c r="E3127" s="2">
        <v>16</v>
      </c>
      <c r="F3127" s="2">
        <v>0</v>
      </c>
      <c r="G3127" s="2">
        <v>0</v>
      </c>
    </row>
    <row r="3128" spans="1:7" x14ac:dyDescent="0.25">
      <c r="A3128" s="2" t="s">
        <v>151</v>
      </c>
      <c r="B3128" s="2" t="s">
        <v>174</v>
      </c>
      <c r="C3128" s="2">
        <v>10</v>
      </c>
      <c r="D3128" s="2">
        <v>10</v>
      </c>
      <c r="E3128" s="2">
        <v>9</v>
      </c>
      <c r="F3128" s="2">
        <v>1</v>
      </c>
      <c r="G3128" s="2">
        <v>0</v>
      </c>
    </row>
    <row r="3129" spans="1:7" x14ac:dyDescent="0.25">
      <c r="A3129" s="2" t="s">
        <v>83</v>
      </c>
      <c r="B3129" s="2" t="s">
        <v>174</v>
      </c>
      <c r="C3129" s="2">
        <v>3</v>
      </c>
      <c r="D3129" s="2">
        <v>3</v>
      </c>
      <c r="E3129" s="2">
        <v>1</v>
      </c>
      <c r="F3129" s="2">
        <v>2</v>
      </c>
      <c r="G3129" s="2">
        <v>0</v>
      </c>
    </row>
    <row r="3130" spans="1:7" x14ac:dyDescent="0.25">
      <c r="A3130" s="2" t="s">
        <v>83</v>
      </c>
      <c r="B3130" s="2" t="s">
        <v>175</v>
      </c>
      <c r="C3130" s="2">
        <v>1</v>
      </c>
      <c r="D3130" s="2">
        <v>1</v>
      </c>
      <c r="E3130" s="2">
        <v>1</v>
      </c>
      <c r="F3130" s="2">
        <v>0</v>
      </c>
      <c r="G3130" s="2">
        <v>0</v>
      </c>
    </row>
    <row r="3131" spans="1:7" x14ac:dyDescent="0.25">
      <c r="A3131" s="2" t="s">
        <v>83</v>
      </c>
      <c r="B3131" s="2" t="s">
        <v>11</v>
      </c>
      <c r="C3131" s="2">
        <v>1</v>
      </c>
      <c r="D3131" s="2">
        <v>1</v>
      </c>
      <c r="E3131" s="2">
        <v>1</v>
      </c>
      <c r="F3131" s="2">
        <v>0</v>
      </c>
      <c r="G3131" s="2">
        <v>0</v>
      </c>
    </row>
    <row r="3132" spans="1:7" x14ac:dyDescent="0.25">
      <c r="A3132" s="2" t="s">
        <v>156</v>
      </c>
      <c r="B3132" s="2" t="s">
        <v>175</v>
      </c>
      <c r="C3132" s="2">
        <v>3</v>
      </c>
      <c r="D3132" s="2">
        <v>3</v>
      </c>
      <c r="E3132" s="2">
        <v>3</v>
      </c>
      <c r="F3132" s="2">
        <v>0</v>
      </c>
      <c r="G3132" s="2">
        <v>0</v>
      </c>
    </row>
    <row r="3133" spans="1:7" x14ac:dyDescent="0.25">
      <c r="A3133" s="2" t="s">
        <v>156</v>
      </c>
      <c r="B3133" s="2" t="s">
        <v>11</v>
      </c>
      <c r="C3133" s="2">
        <v>4</v>
      </c>
      <c r="D3133" s="2">
        <v>4</v>
      </c>
      <c r="E3133" s="2">
        <v>4</v>
      </c>
      <c r="F3133" s="2">
        <v>0</v>
      </c>
      <c r="G3133" s="2">
        <v>0</v>
      </c>
    </row>
    <row r="3134" spans="1:7" x14ac:dyDescent="0.25">
      <c r="A3134" s="2" t="s">
        <v>156</v>
      </c>
      <c r="B3134" s="2" t="s">
        <v>176</v>
      </c>
      <c r="C3134" s="2">
        <v>3</v>
      </c>
      <c r="D3134" s="2">
        <v>3</v>
      </c>
      <c r="E3134" s="2">
        <v>3</v>
      </c>
      <c r="F3134" s="2">
        <v>0</v>
      </c>
      <c r="G3134" s="2">
        <v>0</v>
      </c>
    </row>
    <row r="3135" spans="1:7" x14ac:dyDescent="0.25">
      <c r="A3135" s="2" t="s">
        <v>156</v>
      </c>
      <c r="B3135" s="2" t="s">
        <v>174</v>
      </c>
      <c r="C3135" s="2">
        <v>1</v>
      </c>
      <c r="D3135" s="2">
        <v>1</v>
      </c>
      <c r="E3135" s="2">
        <v>1</v>
      </c>
      <c r="F3135" s="2">
        <v>0</v>
      </c>
      <c r="G3135" s="2">
        <v>0</v>
      </c>
    </row>
    <row r="3136" spans="1:7" x14ac:dyDescent="0.25">
      <c r="A3136" s="2" t="s">
        <v>161</v>
      </c>
      <c r="B3136" s="2" t="s">
        <v>175</v>
      </c>
      <c r="C3136" s="2">
        <v>2</v>
      </c>
      <c r="D3136" s="2">
        <v>2</v>
      </c>
      <c r="E3136" s="2">
        <v>2</v>
      </c>
      <c r="F3136" s="2">
        <v>0</v>
      </c>
      <c r="G3136" s="2">
        <v>0</v>
      </c>
    </row>
    <row r="3137" spans="1:7" x14ac:dyDescent="0.25">
      <c r="A3137" s="2" t="s">
        <v>157</v>
      </c>
      <c r="B3137" s="2" t="s">
        <v>174</v>
      </c>
      <c r="C3137" s="2">
        <v>9</v>
      </c>
      <c r="D3137" s="2">
        <v>9</v>
      </c>
      <c r="E3137" s="2">
        <v>8</v>
      </c>
      <c r="F3137" s="2">
        <v>1</v>
      </c>
      <c r="G3137" s="2">
        <v>0</v>
      </c>
    </row>
    <row r="3138" spans="1:7" x14ac:dyDescent="0.25">
      <c r="A3138" s="2" t="s">
        <v>157</v>
      </c>
      <c r="B3138" s="2" t="s">
        <v>11</v>
      </c>
      <c r="C3138" s="2">
        <v>4</v>
      </c>
      <c r="D3138" s="2">
        <v>4</v>
      </c>
      <c r="E3138" s="2">
        <v>4</v>
      </c>
      <c r="F3138" s="2">
        <v>0</v>
      </c>
      <c r="G3138" s="2">
        <v>0</v>
      </c>
    </row>
    <row r="3139" spans="1:7" x14ac:dyDescent="0.25">
      <c r="A3139" s="2" t="s">
        <v>157</v>
      </c>
      <c r="B3139" s="2" t="s">
        <v>175</v>
      </c>
      <c r="C3139" s="2">
        <v>7</v>
      </c>
      <c r="D3139" s="2">
        <v>7</v>
      </c>
      <c r="E3139" s="2">
        <v>6</v>
      </c>
      <c r="F3139" s="2">
        <v>1</v>
      </c>
      <c r="G3139" s="2">
        <v>0</v>
      </c>
    </row>
    <row r="3140" spans="1:7" x14ac:dyDescent="0.25">
      <c r="A3140" s="2" t="s">
        <v>157</v>
      </c>
      <c r="B3140" s="2" t="s">
        <v>176</v>
      </c>
      <c r="C3140" s="2">
        <v>7</v>
      </c>
      <c r="D3140" s="2">
        <v>7</v>
      </c>
      <c r="E3140" s="2">
        <v>5</v>
      </c>
      <c r="F3140" s="2">
        <v>2</v>
      </c>
      <c r="G3140" s="2">
        <v>0</v>
      </c>
    </row>
    <row r="3141" spans="1:7" x14ac:dyDescent="0.25">
      <c r="A3141" s="2" t="s">
        <v>59</v>
      </c>
      <c r="B3141" s="2" t="s">
        <v>175</v>
      </c>
      <c r="C3141" s="2">
        <v>20</v>
      </c>
      <c r="D3141" s="2">
        <v>18</v>
      </c>
      <c r="E3141" s="2">
        <v>14</v>
      </c>
      <c r="F3141" s="2">
        <v>4</v>
      </c>
      <c r="G3141" s="2">
        <v>0</v>
      </c>
    </row>
    <row r="3142" spans="1:7" x14ac:dyDescent="0.25">
      <c r="A3142" s="2" t="s">
        <v>59</v>
      </c>
      <c r="B3142" s="2" t="s">
        <v>176</v>
      </c>
      <c r="C3142" s="2">
        <v>21</v>
      </c>
      <c r="D3142" s="2">
        <v>21</v>
      </c>
      <c r="E3142" s="2">
        <v>18</v>
      </c>
      <c r="F3142" s="2">
        <v>3</v>
      </c>
      <c r="G3142" s="2">
        <v>0</v>
      </c>
    </row>
    <row r="3143" spans="1:7" x14ac:dyDescent="0.25">
      <c r="A3143" s="2" t="s">
        <v>59</v>
      </c>
      <c r="B3143" s="2" t="s">
        <v>11</v>
      </c>
      <c r="C3143" s="2">
        <v>14</v>
      </c>
      <c r="D3143" s="2">
        <v>14</v>
      </c>
      <c r="E3143" s="2">
        <v>14</v>
      </c>
      <c r="F3143" s="2">
        <v>0</v>
      </c>
      <c r="G3143" s="2">
        <v>0</v>
      </c>
    </row>
    <row r="3144" spans="1:7" x14ac:dyDescent="0.25">
      <c r="A3144" s="2" t="s">
        <v>59</v>
      </c>
      <c r="B3144" s="2" t="s">
        <v>174</v>
      </c>
      <c r="C3144" s="2">
        <v>19</v>
      </c>
      <c r="D3144" s="2">
        <v>19</v>
      </c>
      <c r="E3144" s="2">
        <v>17</v>
      </c>
      <c r="F3144" s="2">
        <v>2</v>
      </c>
      <c r="G3144" s="2">
        <v>0</v>
      </c>
    </row>
    <row r="3145" spans="1:7" x14ac:dyDescent="0.25">
      <c r="A3145" s="2" t="s">
        <v>88</v>
      </c>
      <c r="B3145" s="2" t="s">
        <v>175</v>
      </c>
      <c r="C3145" s="2">
        <v>1</v>
      </c>
      <c r="D3145" s="2">
        <v>1</v>
      </c>
      <c r="E3145" s="2">
        <v>1</v>
      </c>
      <c r="F3145" s="2">
        <v>0</v>
      </c>
      <c r="G3145" s="2">
        <v>0</v>
      </c>
    </row>
    <row r="3146" spans="1:7" x14ac:dyDescent="0.25">
      <c r="A3146" s="2" t="s">
        <v>88</v>
      </c>
      <c r="B3146" s="2" t="s">
        <v>176</v>
      </c>
      <c r="C3146" s="2">
        <v>4</v>
      </c>
      <c r="D3146" s="2">
        <v>4</v>
      </c>
      <c r="E3146" s="2">
        <v>3</v>
      </c>
      <c r="F3146" s="2">
        <v>1</v>
      </c>
      <c r="G3146" s="2">
        <v>0</v>
      </c>
    </row>
    <row r="3147" spans="1:7" x14ac:dyDescent="0.25">
      <c r="A3147" s="2" t="s">
        <v>23</v>
      </c>
      <c r="B3147" s="2" t="s">
        <v>3</v>
      </c>
      <c r="C3147" s="2">
        <v>5</v>
      </c>
      <c r="D3147" s="2">
        <v>4</v>
      </c>
      <c r="E3147" s="2">
        <v>1</v>
      </c>
      <c r="F3147" s="2">
        <v>3</v>
      </c>
      <c r="G3147" s="2">
        <v>0</v>
      </c>
    </row>
    <row r="3148" spans="1:7" x14ac:dyDescent="0.25">
      <c r="A3148" s="2" t="s">
        <v>23</v>
      </c>
      <c r="B3148" s="2" t="s">
        <v>174</v>
      </c>
      <c r="C3148" s="2">
        <v>30</v>
      </c>
      <c r="D3148" s="2">
        <v>30</v>
      </c>
      <c r="E3148" s="2">
        <v>24</v>
      </c>
      <c r="F3148" s="2">
        <v>6</v>
      </c>
      <c r="G3148" s="2">
        <v>0</v>
      </c>
    </row>
    <row r="3149" spans="1:7" x14ac:dyDescent="0.25">
      <c r="A3149" s="2" t="s">
        <v>23</v>
      </c>
      <c r="B3149" s="2" t="s">
        <v>11</v>
      </c>
      <c r="C3149" s="2">
        <v>14</v>
      </c>
      <c r="D3149" s="2">
        <v>14</v>
      </c>
      <c r="E3149" s="2">
        <v>8</v>
      </c>
      <c r="F3149" s="2">
        <v>6</v>
      </c>
      <c r="G3149" s="2">
        <v>0</v>
      </c>
    </row>
    <row r="3150" spans="1:7" x14ac:dyDescent="0.25">
      <c r="A3150" s="2" t="s">
        <v>23</v>
      </c>
      <c r="B3150" s="2" t="s">
        <v>175</v>
      </c>
      <c r="C3150" s="2">
        <v>11</v>
      </c>
      <c r="D3150" s="2">
        <v>10</v>
      </c>
      <c r="E3150" s="2">
        <v>9</v>
      </c>
      <c r="F3150" s="2">
        <v>1</v>
      </c>
      <c r="G3150" s="2">
        <v>0</v>
      </c>
    </row>
    <row r="3151" spans="1:7" x14ac:dyDescent="0.25">
      <c r="A3151" s="2" t="s">
        <v>23</v>
      </c>
      <c r="B3151" s="2" t="s">
        <v>176</v>
      </c>
      <c r="C3151" s="2">
        <v>12</v>
      </c>
      <c r="D3151" s="2">
        <v>12</v>
      </c>
      <c r="E3151" s="2">
        <v>9</v>
      </c>
      <c r="F3151" s="2">
        <v>3</v>
      </c>
      <c r="G3151" s="2">
        <v>0</v>
      </c>
    </row>
    <row r="3152" spans="1:7" x14ac:dyDescent="0.25">
      <c r="A3152" s="2" t="s">
        <v>84</v>
      </c>
      <c r="B3152" s="2" t="s">
        <v>11</v>
      </c>
      <c r="C3152" s="2">
        <v>2</v>
      </c>
      <c r="D3152" s="2">
        <v>2</v>
      </c>
      <c r="E3152" s="2">
        <v>2</v>
      </c>
      <c r="F3152" s="2">
        <v>0</v>
      </c>
      <c r="G3152" s="2">
        <v>0</v>
      </c>
    </row>
    <row r="3153" spans="1:7" x14ac:dyDescent="0.25">
      <c r="A3153" s="2" t="s">
        <v>84</v>
      </c>
      <c r="B3153" s="2" t="s">
        <v>176</v>
      </c>
      <c r="C3153" s="2">
        <v>3</v>
      </c>
      <c r="D3153" s="2">
        <v>3</v>
      </c>
      <c r="E3153" s="2">
        <v>2</v>
      </c>
      <c r="F3153" s="2">
        <v>1</v>
      </c>
      <c r="G3153" s="2">
        <v>0</v>
      </c>
    </row>
    <row r="3154" spans="1:7" x14ac:dyDescent="0.25">
      <c r="A3154" s="2" t="s">
        <v>84</v>
      </c>
      <c r="B3154" s="2" t="s">
        <v>174</v>
      </c>
      <c r="C3154" s="2">
        <v>2</v>
      </c>
      <c r="D3154" s="2">
        <v>2</v>
      </c>
      <c r="E3154" s="2">
        <v>1</v>
      </c>
      <c r="F3154" s="2">
        <v>1</v>
      </c>
      <c r="G3154" s="2">
        <v>0</v>
      </c>
    </row>
    <row r="3155" spans="1:7" x14ac:dyDescent="0.25">
      <c r="A3155" s="2" t="s">
        <v>84</v>
      </c>
      <c r="B3155" s="2" t="s">
        <v>175</v>
      </c>
      <c r="C3155" s="2">
        <v>9</v>
      </c>
      <c r="D3155" s="2">
        <v>8</v>
      </c>
      <c r="E3155" s="2">
        <v>6</v>
      </c>
      <c r="F3155" s="2">
        <v>2</v>
      </c>
      <c r="G3155" s="2">
        <v>0</v>
      </c>
    </row>
    <row r="3156" spans="1:7" x14ac:dyDescent="0.25">
      <c r="A3156" s="2" t="s">
        <v>74</v>
      </c>
      <c r="B3156" s="2" t="s">
        <v>174</v>
      </c>
      <c r="C3156" s="2">
        <v>6</v>
      </c>
      <c r="D3156" s="2">
        <v>6</v>
      </c>
      <c r="E3156" s="2">
        <v>4</v>
      </c>
      <c r="F3156" s="2">
        <v>2</v>
      </c>
      <c r="G3156" s="2">
        <v>0</v>
      </c>
    </row>
    <row r="3157" spans="1:7" x14ac:dyDescent="0.25">
      <c r="A3157" s="2" t="s">
        <v>74</v>
      </c>
      <c r="B3157" s="2" t="s">
        <v>176</v>
      </c>
      <c r="C3157" s="2">
        <v>9</v>
      </c>
      <c r="D3157" s="2">
        <v>9</v>
      </c>
      <c r="E3157" s="2">
        <v>9</v>
      </c>
      <c r="F3157" s="2">
        <v>0</v>
      </c>
      <c r="G3157" s="2">
        <v>0</v>
      </c>
    </row>
    <row r="3158" spans="1:7" x14ac:dyDescent="0.25">
      <c r="A3158" s="2" t="s">
        <v>74</v>
      </c>
      <c r="B3158" s="2" t="s">
        <v>11</v>
      </c>
      <c r="C3158" s="2">
        <v>2</v>
      </c>
      <c r="D3158" s="2">
        <v>2</v>
      </c>
      <c r="E3158" s="2">
        <v>2</v>
      </c>
      <c r="F3158" s="2">
        <v>0</v>
      </c>
      <c r="G3158" s="2">
        <v>0</v>
      </c>
    </row>
    <row r="3159" spans="1:7" x14ac:dyDescent="0.25">
      <c r="A3159" s="2" t="s">
        <v>74</v>
      </c>
      <c r="B3159" s="2" t="s">
        <v>175</v>
      </c>
      <c r="C3159" s="2">
        <v>13</v>
      </c>
      <c r="D3159" s="2">
        <v>11</v>
      </c>
      <c r="E3159" s="2">
        <v>8</v>
      </c>
      <c r="F3159" s="2">
        <v>3</v>
      </c>
      <c r="G3159" s="2">
        <v>0</v>
      </c>
    </row>
    <row r="3160" spans="1:7" x14ac:dyDescent="0.25">
      <c r="A3160" s="2" t="s">
        <v>104</v>
      </c>
      <c r="B3160" s="2" t="s">
        <v>176</v>
      </c>
      <c r="C3160" s="2">
        <v>8</v>
      </c>
      <c r="D3160" s="2">
        <v>8</v>
      </c>
      <c r="E3160" s="2">
        <v>8</v>
      </c>
      <c r="F3160" s="2">
        <v>0</v>
      </c>
      <c r="G3160" s="2">
        <v>0</v>
      </c>
    </row>
    <row r="3161" spans="1:7" x14ac:dyDescent="0.25">
      <c r="A3161" s="2" t="s">
        <v>104</v>
      </c>
      <c r="B3161" s="2" t="s">
        <v>174</v>
      </c>
      <c r="C3161" s="2">
        <v>17</v>
      </c>
      <c r="D3161" s="2">
        <v>16</v>
      </c>
      <c r="E3161" s="2">
        <v>14</v>
      </c>
      <c r="F3161" s="2">
        <v>2</v>
      </c>
      <c r="G3161" s="2">
        <v>0</v>
      </c>
    </row>
    <row r="3162" spans="1:7" x14ac:dyDescent="0.25">
      <c r="A3162" s="2" t="s">
        <v>104</v>
      </c>
      <c r="B3162" s="2" t="s">
        <v>175</v>
      </c>
      <c r="C3162" s="2">
        <v>9</v>
      </c>
      <c r="D3162" s="2">
        <v>9</v>
      </c>
      <c r="E3162" s="2">
        <v>8</v>
      </c>
      <c r="F3162" s="2">
        <v>1</v>
      </c>
      <c r="G3162" s="2">
        <v>0</v>
      </c>
    </row>
    <row r="3163" spans="1:7" x14ac:dyDescent="0.25">
      <c r="A3163" s="2" t="s">
        <v>104</v>
      </c>
      <c r="B3163" s="2" t="s">
        <v>11</v>
      </c>
      <c r="C3163" s="2">
        <v>2</v>
      </c>
      <c r="D3163" s="2">
        <v>1</v>
      </c>
      <c r="E3163" s="2">
        <v>0</v>
      </c>
      <c r="F3163" s="2">
        <v>1</v>
      </c>
      <c r="G3163" s="2">
        <v>0</v>
      </c>
    </row>
    <row r="3164" spans="1:7" x14ac:dyDescent="0.25">
      <c r="A3164" s="2" t="s">
        <v>60</v>
      </c>
      <c r="B3164" s="2" t="s">
        <v>3</v>
      </c>
      <c r="C3164" s="2">
        <v>2</v>
      </c>
      <c r="D3164" s="2">
        <v>2</v>
      </c>
      <c r="E3164" s="2">
        <v>1</v>
      </c>
      <c r="F3164" s="2">
        <v>1</v>
      </c>
      <c r="G3164" s="2">
        <v>0</v>
      </c>
    </row>
    <row r="3165" spans="1:7" x14ac:dyDescent="0.25">
      <c r="A3165" s="2" t="s">
        <v>60</v>
      </c>
      <c r="B3165" s="2" t="s">
        <v>11</v>
      </c>
      <c r="C3165" s="2">
        <v>3</v>
      </c>
      <c r="D3165" s="2">
        <v>3</v>
      </c>
      <c r="E3165" s="2">
        <v>2</v>
      </c>
      <c r="F3165" s="2">
        <v>1</v>
      </c>
      <c r="G3165" s="2">
        <v>0</v>
      </c>
    </row>
    <row r="3166" spans="1:7" x14ac:dyDescent="0.25">
      <c r="A3166" s="2" t="s">
        <v>60</v>
      </c>
      <c r="B3166" s="2" t="s">
        <v>175</v>
      </c>
      <c r="C3166" s="2">
        <v>2</v>
      </c>
      <c r="D3166" s="2">
        <v>2</v>
      </c>
      <c r="E3166" s="2">
        <v>1</v>
      </c>
      <c r="F3166" s="2">
        <v>1</v>
      </c>
      <c r="G3166" s="2">
        <v>0</v>
      </c>
    </row>
    <row r="3167" spans="1:7" x14ac:dyDescent="0.25">
      <c r="A3167" s="2" t="s">
        <v>60</v>
      </c>
      <c r="B3167" s="2" t="s">
        <v>176</v>
      </c>
      <c r="C3167" s="2">
        <v>2</v>
      </c>
      <c r="D3167" s="2">
        <v>2</v>
      </c>
      <c r="E3167" s="2">
        <v>2</v>
      </c>
      <c r="F3167" s="2">
        <v>0</v>
      </c>
      <c r="G3167" s="2">
        <v>0</v>
      </c>
    </row>
    <row r="3168" spans="1:7" x14ac:dyDescent="0.25">
      <c r="A3168" s="2" t="s">
        <v>60</v>
      </c>
      <c r="B3168" s="2" t="s">
        <v>174</v>
      </c>
      <c r="C3168" s="2">
        <v>1</v>
      </c>
      <c r="D3168" s="2">
        <v>1</v>
      </c>
      <c r="E3168" s="2">
        <v>1</v>
      </c>
      <c r="F3168" s="2">
        <v>0</v>
      </c>
      <c r="G3168" s="2">
        <v>0</v>
      </c>
    </row>
    <row r="3169" spans="1:13" x14ac:dyDescent="0.25">
      <c r="A3169" s="2" t="s">
        <v>37</v>
      </c>
      <c r="B3169" s="2" t="s">
        <v>174</v>
      </c>
      <c r="C3169" s="2">
        <v>3</v>
      </c>
      <c r="D3169" s="2">
        <v>3</v>
      </c>
      <c r="E3169" s="2">
        <v>2</v>
      </c>
      <c r="F3169" s="2">
        <v>1</v>
      </c>
      <c r="G3169" s="2">
        <v>0</v>
      </c>
    </row>
    <row r="3170" spans="1:13" x14ac:dyDescent="0.25">
      <c r="A3170" s="2" t="s">
        <v>37</v>
      </c>
      <c r="B3170" s="2" t="s">
        <v>175</v>
      </c>
      <c r="C3170" s="2">
        <v>5</v>
      </c>
      <c r="D3170" s="2">
        <v>5</v>
      </c>
      <c r="E3170" s="2">
        <v>2</v>
      </c>
      <c r="F3170" s="2">
        <v>3</v>
      </c>
      <c r="G3170" s="2">
        <v>0</v>
      </c>
    </row>
    <row r="3171" spans="1:13" x14ac:dyDescent="0.25">
      <c r="A3171" s="2" t="s">
        <v>37</v>
      </c>
      <c r="B3171" s="2" t="s">
        <v>176</v>
      </c>
      <c r="C3171" s="2">
        <v>4</v>
      </c>
      <c r="D3171" s="2">
        <v>4</v>
      </c>
      <c r="E3171" s="2">
        <v>3</v>
      </c>
      <c r="F3171" s="2">
        <v>1</v>
      </c>
      <c r="G3171" s="2">
        <v>0</v>
      </c>
    </row>
    <row r="3172" spans="1:13" x14ac:dyDescent="0.25">
      <c r="A3172" s="2" t="s">
        <v>106</v>
      </c>
      <c r="B3172" s="2" t="s">
        <v>175</v>
      </c>
      <c r="C3172" s="2">
        <v>5</v>
      </c>
      <c r="D3172" s="2">
        <v>5</v>
      </c>
      <c r="E3172" s="2">
        <v>5</v>
      </c>
      <c r="F3172" s="2">
        <v>0</v>
      </c>
      <c r="G3172" s="2">
        <v>0</v>
      </c>
    </row>
    <row r="3173" spans="1:13" x14ac:dyDescent="0.25">
      <c r="A3173" s="2" t="s">
        <v>106</v>
      </c>
      <c r="B3173" s="2" t="s">
        <v>176</v>
      </c>
      <c r="C3173" s="2">
        <v>5</v>
      </c>
      <c r="D3173" s="2">
        <v>5</v>
      </c>
      <c r="E3173" s="2">
        <v>3</v>
      </c>
      <c r="F3173" s="2">
        <v>2</v>
      </c>
      <c r="G3173" s="2">
        <v>0</v>
      </c>
    </row>
    <row r="3174" spans="1:13" x14ac:dyDescent="0.25">
      <c r="A3174" s="2" t="s">
        <v>106</v>
      </c>
      <c r="B3174" s="2" t="s">
        <v>174</v>
      </c>
      <c r="C3174" s="2">
        <v>2</v>
      </c>
      <c r="D3174" s="2">
        <v>2</v>
      </c>
      <c r="E3174" s="2">
        <v>2</v>
      </c>
      <c r="F3174" s="2">
        <v>0</v>
      </c>
      <c r="G3174" s="2">
        <v>0</v>
      </c>
    </row>
    <row r="3175" spans="1:13" x14ac:dyDescent="0.25">
      <c r="A3175" s="2" t="s">
        <v>106</v>
      </c>
      <c r="B3175" s="2" t="s">
        <v>11</v>
      </c>
      <c r="C3175" s="2">
        <v>1</v>
      </c>
      <c r="D3175" s="2">
        <v>1</v>
      </c>
      <c r="E3175" s="2">
        <v>1</v>
      </c>
      <c r="F3175" s="2">
        <v>0</v>
      </c>
      <c r="G3175" s="2">
        <v>0</v>
      </c>
    </row>
    <row r="3176" spans="1:13" x14ac:dyDescent="0.25">
      <c r="A3176" s="2" t="s">
        <v>165</v>
      </c>
      <c r="B3176" s="2" t="s">
        <v>176</v>
      </c>
      <c r="C3176" s="2">
        <v>2</v>
      </c>
      <c r="D3176" s="2">
        <v>2</v>
      </c>
      <c r="E3176" s="2">
        <v>2</v>
      </c>
      <c r="F3176" s="2">
        <v>0</v>
      </c>
      <c r="G3176" s="2">
        <v>0</v>
      </c>
    </row>
    <row r="3177" spans="1:13" x14ac:dyDescent="0.25">
      <c r="A3177" s="2" t="s">
        <v>165</v>
      </c>
      <c r="B3177" s="2" t="s">
        <v>175</v>
      </c>
      <c r="C3177" s="2">
        <v>4</v>
      </c>
      <c r="D3177" s="2">
        <v>4</v>
      </c>
      <c r="E3177" s="2">
        <v>4</v>
      </c>
      <c r="F3177" s="2">
        <v>0</v>
      </c>
      <c r="G3177" s="2">
        <v>0</v>
      </c>
      <c r="I3177">
        <f>+SUM(C3101:C3177)</f>
        <v>480</v>
      </c>
      <c r="J3177">
        <f t="shared" ref="J3177:M3177" si="2">+SUM(D3101:D3177)</f>
        <v>471</v>
      </c>
      <c r="K3177">
        <f t="shared" si="2"/>
        <v>395</v>
      </c>
      <c r="L3177">
        <f t="shared" si="2"/>
        <v>76</v>
      </c>
      <c r="M3177">
        <f t="shared" si="2"/>
        <v>0</v>
      </c>
    </row>
    <row r="3178" spans="1:13" x14ac:dyDescent="0.25">
      <c r="A3178" s="2" t="s">
        <v>165</v>
      </c>
      <c r="B3178" s="2" t="s">
        <v>174</v>
      </c>
      <c r="C3178" s="2">
        <v>1</v>
      </c>
      <c r="D3178" s="2">
        <v>1</v>
      </c>
      <c r="E3178" s="2">
        <v>1</v>
      </c>
      <c r="F3178" s="2">
        <v>0</v>
      </c>
      <c r="G3178" s="2">
        <v>0</v>
      </c>
    </row>
    <row r="3179" spans="1:13" x14ac:dyDescent="0.25">
      <c r="A3179" s="2" t="s">
        <v>165</v>
      </c>
      <c r="B3179" s="2" t="s">
        <v>11</v>
      </c>
      <c r="C3179" s="2">
        <v>1</v>
      </c>
      <c r="D3179" s="2">
        <v>1</v>
      </c>
      <c r="E3179" s="2">
        <v>1</v>
      </c>
      <c r="F3179" s="2">
        <v>0</v>
      </c>
      <c r="G3179" s="2">
        <v>0</v>
      </c>
    </row>
    <row r="3180" spans="1:13" x14ac:dyDescent="0.25">
      <c r="A3180" s="2" t="s">
        <v>162</v>
      </c>
      <c r="B3180" s="2" t="s">
        <v>175</v>
      </c>
      <c r="C3180" s="2">
        <v>5</v>
      </c>
      <c r="D3180" s="2">
        <v>5</v>
      </c>
      <c r="E3180" s="2">
        <v>4</v>
      </c>
      <c r="F3180" s="2">
        <v>1</v>
      </c>
      <c r="G3180" s="2">
        <v>0</v>
      </c>
    </row>
    <row r="3181" spans="1:13" x14ac:dyDescent="0.25">
      <c r="A3181" s="2" t="s">
        <v>162</v>
      </c>
      <c r="B3181" s="2" t="s">
        <v>174</v>
      </c>
      <c r="C3181" s="2">
        <v>5</v>
      </c>
      <c r="D3181" s="2">
        <v>5</v>
      </c>
      <c r="E3181" s="2">
        <v>3</v>
      </c>
      <c r="F3181" s="2">
        <v>2</v>
      </c>
      <c r="G3181" s="2">
        <v>0</v>
      </c>
    </row>
    <row r="3182" spans="1:13" x14ac:dyDescent="0.25">
      <c r="A3182" s="2" t="s">
        <v>162</v>
      </c>
      <c r="B3182" s="2" t="s">
        <v>3</v>
      </c>
      <c r="C3182" s="2">
        <v>1</v>
      </c>
      <c r="D3182" s="2">
        <v>0</v>
      </c>
      <c r="E3182" s="2">
        <v>0</v>
      </c>
      <c r="F3182" s="2">
        <v>0</v>
      </c>
      <c r="G3182" s="2">
        <v>0</v>
      </c>
    </row>
    <row r="3183" spans="1:13" x14ac:dyDescent="0.25">
      <c r="A3183" s="2" t="s">
        <v>162</v>
      </c>
      <c r="B3183" s="2" t="s">
        <v>11</v>
      </c>
      <c r="C3183" s="2">
        <v>3</v>
      </c>
      <c r="D3183" s="2">
        <v>3</v>
      </c>
      <c r="E3183" s="2">
        <v>2</v>
      </c>
      <c r="F3183" s="2">
        <v>1</v>
      </c>
      <c r="G3183" s="2">
        <v>0</v>
      </c>
    </row>
    <row r="3184" spans="1:13" x14ac:dyDescent="0.25">
      <c r="A3184" s="2" t="s">
        <v>162</v>
      </c>
      <c r="B3184" s="2" t="s">
        <v>176</v>
      </c>
      <c r="C3184" s="2">
        <v>6</v>
      </c>
      <c r="D3184" s="2">
        <v>6</v>
      </c>
      <c r="E3184" s="2">
        <v>6</v>
      </c>
      <c r="F3184" s="2">
        <v>0</v>
      </c>
      <c r="G3184" s="2">
        <v>0</v>
      </c>
    </row>
    <row r="3185" spans="1:7" x14ac:dyDescent="0.25">
      <c r="A3185" s="2" t="s">
        <v>75</v>
      </c>
      <c r="B3185" s="2" t="s">
        <v>3</v>
      </c>
      <c r="C3185" s="2">
        <v>2</v>
      </c>
      <c r="D3185" s="2">
        <v>2</v>
      </c>
      <c r="E3185" s="2">
        <v>2</v>
      </c>
      <c r="F3185" s="2">
        <v>0</v>
      </c>
      <c r="G3185" s="2">
        <v>0</v>
      </c>
    </row>
    <row r="3186" spans="1:7" x14ac:dyDescent="0.25">
      <c r="A3186" s="2" t="s">
        <v>75</v>
      </c>
      <c r="B3186" s="2" t="s">
        <v>11</v>
      </c>
      <c r="C3186" s="2">
        <v>8</v>
      </c>
      <c r="D3186" s="2">
        <v>8</v>
      </c>
      <c r="E3186" s="2">
        <v>7</v>
      </c>
      <c r="F3186" s="2">
        <v>1</v>
      </c>
      <c r="G3186" s="2">
        <v>0</v>
      </c>
    </row>
    <row r="3187" spans="1:7" x14ac:dyDescent="0.25">
      <c r="A3187" s="2" t="s">
        <v>75</v>
      </c>
      <c r="B3187" s="2" t="s">
        <v>176</v>
      </c>
      <c r="C3187" s="2">
        <v>7</v>
      </c>
      <c r="D3187" s="2">
        <v>7</v>
      </c>
      <c r="E3187" s="2">
        <v>6</v>
      </c>
      <c r="F3187" s="2">
        <v>1</v>
      </c>
      <c r="G3187" s="2">
        <v>0</v>
      </c>
    </row>
    <row r="3188" spans="1:7" x14ac:dyDescent="0.25">
      <c r="A3188" s="2" t="s">
        <v>75</v>
      </c>
      <c r="B3188" s="2" t="s">
        <v>174</v>
      </c>
      <c r="C3188" s="2">
        <v>12</v>
      </c>
      <c r="D3188" s="2">
        <v>12</v>
      </c>
      <c r="E3188" s="2">
        <v>10</v>
      </c>
      <c r="F3188" s="2">
        <v>2</v>
      </c>
      <c r="G3188" s="2">
        <v>0</v>
      </c>
    </row>
    <row r="3189" spans="1:7" x14ac:dyDescent="0.25">
      <c r="A3189" s="2" t="s">
        <v>75</v>
      </c>
      <c r="B3189" s="2" t="s">
        <v>175</v>
      </c>
      <c r="C3189" s="2">
        <v>37</v>
      </c>
      <c r="D3189" s="2">
        <v>37</v>
      </c>
      <c r="E3189" s="2">
        <v>19</v>
      </c>
      <c r="F3189" s="2">
        <v>18</v>
      </c>
      <c r="G3189" s="2">
        <v>0</v>
      </c>
    </row>
    <row r="3190" spans="1:7" x14ac:dyDescent="0.25">
      <c r="A3190" s="2" t="s">
        <v>139</v>
      </c>
      <c r="B3190" s="2" t="s">
        <v>176</v>
      </c>
      <c r="C3190" s="2">
        <v>1</v>
      </c>
      <c r="D3190" s="2">
        <v>1</v>
      </c>
      <c r="E3190" s="2">
        <v>1</v>
      </c>
      <c r="F3190" s="2">
        <v>0</v>
      </c>
      <c r="G3190" s="2">
        <v>0</v>
      </c>
    </row>
    <row r="3191" spans="1:7" x14ac:dyDescent="0.25">
      <c r="A3191" s="2" t="s">
        <v>24</v>
      </c>
      <c r="B3191" s="2" t="s">
        <v>176</v>
      </c>
      <c r="C3191" s="2">
        <v>55</v>
      </c>
      <c r="D3191" s="2">
        <v>55</v>
      </c>
      <c r="E3191" s="2">
        <v>44</v>
      </c>
      <c r="F3191" s="2">
        <v>11</v>
      </c>
      <c r="G3191" s="2">
        <v>0</v>
      </c>
    </row>
    <row r="3192" spans="1:7" x14ac:dyDescent="0.25">
      <c r="A3192" s="2" t="s">
        <v>24</v>
      </c>
      <c r="B3192" s="2" t="s">
        <v>3</v>
      </c>
      <c r="C3192" s="2">
        <v>1</v>
      </c>
      <c r="D3192" s="2">
        <v>1</v>
      </c>
      <c r="E3192" s="2">
        <v>1</v>
      </c>
      <c r="F3192" s="2">
        <v>0</v>
      </c>
      <c r="G3192" s="2">
        <v>0</v>
      </c>
    </row>
    <row r="3193" spans="1:7" x14ac:dyDescent="0.25">
      <c r="A3193" s="2" t="s">
        <v>24</v>
      </c>
      <c r="B3193" s="2" t="s">
        <v>11</v>
      </c>
      <c r="C3193" s="2">
        <v>14</v>
      </c>
      <c r="D3193" s="2">
        <v>14</v>
      </c>
      <c r="E3193" s="2">
        <v>14</v>
      </c>
      <c r="F3193" s="2">
        <v>0</v>
      </c>
      <c r="G3193" s="2">
        <v>0</v>
      </c>
    </row>
    <row r="3194" spans="1:7" x14ac:dyDescent="0.25">
      <c r="A3194" s="2" t="s">
        <v>24</v>
      </c>
      <c r="B3194" s="2" t="s">
        <v>175</v>
      </c>
      <c r="C3194" s="2">
        <v>8</v>
      </c>
      <c r="D3194" s="2">
        <v>5</v>
      </c>
      <c r="E3194" s="2">
        <v>3</v>
      </c>
      <c r="F3194" s="2">
        <v>2</v>
      </c>
      <c r="G3194" s="2">
        <v>0</v>
      </c>
    </row>
    <row r="3195" spans="1:7" x14ac:dyDescent="0.25">
      <c r="A3195" s="2" t="s">
        <v>24</v>
      </c>
      <c r="B3195" s="2" t="s">
        <v>174</v>
      </c>
      <c r="C3195" s="2">
        <v>44</v>
      </c>
      <c r="D3195" s="2">
        <v>44</v>
      </c>
      <c r="E3195" s="2">
        <v>32</v>
      </c>
      <c r="F3195" s="2">
        <v>12</v>
      </c>
      <c r="G3195" s="2">
        <v>0</v>
      </c>
    </row>
    <row r="3196" spans="1:7" x14ac:dyDescent="0.25">
      <c r="A3196" s="2" t="s">
        <v>159</v>
      </c>
      <c r="B3196" s="2" t="s">
        <v>174</v>
      </c>
      <c r="C3196" s="2">
        <v>8</v>
      </c>
      <c r="D3196" s="2">
        <v>8</v>
      </c>
      <c r="E3196" s="2">
        <v>8</v>
      </c>
      <c r="F3196" s="2">
        <v>0</v>
      </c>
      <c r="G3196" s="2">
        <v>0</v>
      </c>
    </row>
    <row r="3197" spans="1:7" x14ac:dyDescent="0.25">
      <c r="A3197" s="2" t="s">
        <v>159</v>
      </c>
      <c r="B3197" s="2" t="s">
        <v>176</v>
      </c>
      <c r="C3197" s="2">
        <v>7</v>
      </c>
      <c r="D3197" s="2">
        <v>7</v>
      </c>
      <c r="E3197" s="2">
        <v>7</v>
      </c>
      <c r="F3197" s="2">
        <v>0</v>
      </c>
      <c r="G3197" s="2">
        <v>0</v>
      </c>
    </row>
    <row r="3198" spans="1:7" x14ac:dyDescent="0.25">
      <c r="A3198" s="2" t="s">
        <v>159</v>
      </c>
      <c r="B3198" s="2" t="s">
        <v>175</v>
      </c>
      <c r="C3198" s="2">
        <v>5</v>
      </c>
      <c r="D3198" s="2">
        <v>5</v>
      </c>
      <c r="E3198" s="2">
        <v>4</v>
      </c>
      <c r="F3198" s="2">
        <v>1</v>
      </c>
      <c r="G3198" s="2">
        <v>0</v>
      </c>
    </row>
    <row r="3199" spans="1:7" x14ac:dyDescent="0.25">
      <c r="A3199" s="2" t="s">
        <v>159</v>
      </c>
      <c r="B3199" s="2" t="s">
        <v>11</v>
      </c>
      <c r="C3199" s="2">
        <v>3</v>
      </c>
      <c r="D3199" s="2">
        <v>3</v>
      </c>
      <c r="E3199" s="2">
        <v>3</v>
      </c>
      <c r="F3199" s="2">
        <v>0</v>
      </c>
      <c r="G3199" s="2">
        <v>0</v>
      </c>
    </row>
    <row r="3200" spans="1:7" x14ac:dyDescent="0.25">
      <c r="A3200" s="2" t="s">
        <v>38</v>
      </c>
      <c r="B3200" s="2" t="s">
        <v>175</v>
      </c>
      <c r="C3200" s="2">
        <v>2</v>
      </c>
      <c r="D3200" s="2">
        <v>2</v>
      </c>
      <c r="E3200" s="2">
        <v>2</v>
      </c>
      <c r="F3200" s="2">
        <v>0</v>
      </c>
      <c r="G3200" s="2">
        <v>0</v>
      </c>
    </row>
    <row r="3201" spans="1:7" x14ac:dyDescent="0.25">
      <c r="A3201" s="2" t="s">
        <v>38</v>
      </c>
      <c r="B3201" s="2" t="s">
        <v>176</v>
      </c>
      <c r="C3201" s="2">
        <v>1</v>
      </c>
      <c r="D3201" s="2">
        <v>1</v>
      </c>
      <c r="E3201" s="2">
        <v>1</v>
      </c>
      <c r="F3201" s="2">
        <v>0</v>
      </c>
      <c r="G3201" s="2">
        <v>0</v>
      </c>
    </row>
    <row r="3202" spans="1:7" x14ac:dyDescent="0.25">
      <c r="A3202" s="2" t="s">
        <v>56</v>
      </c>
      <c r="B3202" s="2" t="s">
        <v>175</v>
      </c>
      <c r="C3202" s="2">
        <v>10</v>
      </c>
      <c r="D3202" s="2">
        <v>10</v>
      </c>
      <c r="E3202" s="2">
        <v>9</v>
      </c>
      <c r="F3202" s="2">
        <v>1</v>
      </c>
      <c r="G3202" s="2">
        <v>0</v>
      </c>
    </row>
    <row r="3203" spans="1:7" x14ac:dyDescent="0.25">
      <c r="A3203" s="2" t="s">
        <v>56</v>
      </c>
      <c r="B3203" s="2" t="s">
        <v>3</v>
      </c>
      <c r="C3203" s="2">
        <v>1</v>
      </c>
      <c r="D3203" s="2">
        <v>1</v>
      </c>
      <c r="E3203" s="2">
        <v>1</v>
      </c>
      <c r="F3203" s="2">
        <v>0</v>
      </c>
      <c r="G3203" s="2">
        <v>0</v>
      </c>
    </row>
    <row r="3204" spans="1:7" x14ac:dyDescent="0.25">
      <c r="A3204" s="2" t="s">
        <v>56</v>
      </c>
      <c r="B3204" s="2" t="s">
        <v>176</v>
      </c>
      <c r="C3204" s="2">
        <v>3</v>
      </c>
      <c r="D3204" s="2">
        <v>3</v>
      </c>
      <c r="E3204" s="2">
        <v>3</v>
      </c>
      <c r="F3204" s="2">
        <v>0</v>
      </c>
      <c r="G3204" s="2">
        <v>0</v>
      </c>
    </row>
    <row r="3205" spans="1:7" x14ac:dyDescent="0.25">
      <c r="A3205" s="2" t="s">
        <v>25</v>
      </c>
      <c r="B3205" s="2" t="s">
        <v>3</v>
      </c>
      <c r="C3205" s="2">
        <v>4</v>
      </c>
      <c r="D3205" s="2">
        <v>4</v>
      </c>
      <c r="E3205" s="2">
        <v>4</v>
      </c>
      <c r="F3205" s="2">
        <v>0</v>
      </c>
      <c r="G3205" s="2">
        <v>0</v>
      </c>
    </row>
    <row r="3206" spans="1:7" x14ac:dyDescent="0.25">
      <c r="A3206" s="2" t="s">
        <v>25</v>
      </c>
      <c r="B3206" s="2" t="s">
        <v>175</v>
      </c>
      <c r="C3206" s="2">
        <v>1</v>
      </c>
      <c r="D3206" s="2">
        <v>0</v>
      </c>
      <c r="E3206" s="2">
        <v>0</v>
      </c>
      <c r="F3206" s="2">
        <v>0</v>
      </c>
      <c r="G3206" s="2">
        <v>0</v>
      </c>
    </row>
    <row r="3207" spans="1:7" x14ac:dyDescent="0.25">
      <c r="A3207" s="2" t="s">
        <v>68</v>
      </c>
      <c r="B3207" s="2" t="s">
        <v>174</v>
      </c>
      <c r="C3207" s="2">
        <v>6</v>
      </c>
      <c r="D3207" s="2">
        <v>6</v>
      </c>
      <c r="E3207" s="2">
        <v>6</v>
      </c>
      <c r="F3207" s="2">
        <v>0</v>
      </c>
      <c r="G3207" s="2">
        <v>0</v>
      </c>
    </row>
    <row r="3208" spans="1:7" x14ac:dyDescent="0.25">
      <c r="A3208" s="2" t="s">
        <v>68</v>
      </c>
      <c r="B3208" s="2" t="s">
        <v>176</v>
      </c>
      <c r="C3208" s="2">
        <v>2</v>
      </c>
      <c r="D3208" s="2">
        <v>2</v>
      </c>
      <c r="E3208" s="2">
        <v>2</v>
      </c>
      <c r="F3208" s="2">
        <v>0</v>
      </c>
      <c r="G3208" s="2">
        <v>0</v>
      </c>
    </row>
    <row r="3209" spans="1:7" x14ac:dyDescent="0.25">
      <c r="A3209" s="2" t="s">
        <v>68</v>
      </c>
      <c r="B3209" s="2" t="s">
        <v>175</v>
      </c>
      <c r="C3209" s="2">
        <v>7</v>
      </c>
      <c r="D3209" s="2">
        <v>7</v>
      </c>
      <c r="E3209" s="2">
        <v>7</v>
      </c>
      <c r="F3209" s="2">
        <v>0</v>
      </c>
      <c r="G3209" s="2">
        <v>0</v>
      </c>
    </row>
    <row r="3210" spans="1:7" x14ac:dyDescent="0.25">
      <c r="A3210" s="2" t="s">
        <v>114</v>
      </c>
      <c r="B3210" s="2" t="s">
        <v>3</v>
      </c>
      <c r="C3210" s="2">
        <v>1</v>
      </c>
      <c r="D3210" s="2">
        <v>0</v>
      </c>
      <c r="E3210" s="2">
        <v>0</v>
      </c>
      <c r="F3210" s="2">
        <v>0</v>
      </c>
      <c r="G3210" s="2">
        <v>0</v>
      </c>
    </row>
    <row r="3211" spans="1:7" x14ac:dyDescent="0.25">
      <c r="A3211" s="2" t="s">
        <v>114</v>
      </c>
      <c r="B3211" s="2" t="s">
        <v>174</v>
      </c>
      <c r="C3211" s="2">
        <v>7</v>
      </c>
      <c r="D3211" s="2">
        <v>7</v>
      </c>
      <c r="E3211" s="2">
        <v>7</v>
      </c>
      <c r="F3211" s="2">
        <v>0</v>
      </c>
      <c r="G3211" s="2">
        <v>0</v>
      </c>
    </row>
    <row r="3212" spans="1:7" x14ac:dyDescent="0.25">
      <c r="A3212" s="2" t="s">
        <v>114</v>
      </c>
      <c r="B3212" s="2" t="s">
        <v>11</v>
      </c>
      <c r="C3212" s="2">
        <v>4</v>
      </c>
      <c r="D3212" s="2">
        <v>4</v>
      </c>
      <c r="E3212" s="2">
        <v>3</v>
      </c>
      <c r="F3212" s="2">
        <v>1</v>
      </c>
      <c r="G3212" s="2">
        <v>0</v>
      </c>
    </row>
    <row r="3213" spans="1:7" x14ac:dyDescent="0.25">
      <c r="A3213" s="2" t="s">
        <v>114</v>
      </c>
      <c r="B3213" s="2" t="s">
        <v>175</v>
      </c>
      <c r="C3213" s="2">
        <v>14</v>
      </c>
      <c r="D3213" s="2">
        <v>13</v>
      </c>
      <c r="E3213" s="2">
        <v>12</v>
      </c>
      <c r="F3213" s="2">
        <v>1</v>
      </c>
      <c r="G3213" s="2">
        <v>0</v>
      </c>
    </row>
    <row r="3214" spans="1:7" x14ac:dyDescent="0.25">
      <c r="A3214" s="2" t="s">
        <v>114</v>
      </c>
      <c r="B3214" s="2" t="s">
        <v>176</v>
      </c>
      <c r="C3214" s="2">
        <v>9</v>
      </c>
      <c r="D3214" s="2">
        <v>9</v>
      </c>
      <c r="E3214" s="2">
        <v>7</v>
      </c>
      <c r="F3214" s="2">
        <v>2</v>
      </c>
      <c r="G3214" s="2">
        <v>0</v>
      </c>
    </row>
    <row r="3215" spans="1:7" x14ac:dyDescent="0.25">
      <c r="A3215" s="2" t="s">
        <v>136</v>
      </c>
      <c r="B3215" s="2" t="s">
        <v>3</v>
      </c>
      <c r="C3215" s="2">
        <v>1</v>
      </c>
      <c r="D3215" s="2">
        <v>1</v>
      </c>
      <c r="E3215" s="2">
        <v>1</v>
      </c>
      <c r="F3215" s="2">
        <v>0</v>
      </c>
      <c r="G3215" s="2">
        <v>0</v>
      </c>
    </row>
    <row r="3216" spans="1:7" x14ac:dyDescent="0.25">
      <c r="A3216" s="2" t="s">
        <v>136</v>
      </c>
      <c r="B3216" s="2" t="s">
        <v>174</v>
      </c>
      <c r="C3216" s="2">
        <v>6</v>
      </c>
      <c r="D3216" s="2">
        <v>6</v>
      </c>
      <c r="E3216" s="2">
        <v>4</v>
      </c>
      <c r="F3216" s="2">
        <v>2</v>
      </c>
      <c r="G3216" s="2">
        <v>0</v>
      </c>
    </row>
    <row r="3217" spans="1:7" x14ac:dyDescent="0.25">
      <c r="A3217" s="2" t="s">
        <v>136</v>
      </c>
      <c r="B3217" s="2" t="s">
        <v>176</v>
      </c>
      <c r="C3217" s="2">
        <v>11</v>
      </c>
      <c r="D3217" s="2">
        <v>11</v>
      </c>
      <c r="E3217" s="2">
        <v>8</v>
      </c>
      <c r="F3217" s="2">
        <v>3</v>
      </c>
      <c r="G3217" s="2">
        <v>0</v>
      </c>
    </row>
    <row r="3218" spans="1:7" x14ac:dyDescent="0.25">
      <c r="A3218" s="2" t="s">
        <v>136</v>
      </c>
      <c r="B3218" s="2" t="s">
        <v>11</v>
      </c>
      <c r="C3218" s="2">
        <v>8</v>
      </c>
      <c r="D3218" s="2">
        <v>8</v>
      </c>
      <c r="E3218" s="2">
        <v>6</v>
      </c>
      <c r="F3218" s="2">
        <v>2</v>
      </c>
      <c r="G3218" s="2">
        <v>0</v>
      </c>
    </row>
    <row r="3219" spans="1:7" x14ac:dyDescent="0.25">
      <c r="A3219" s="2" t="s">
        <v>136</v>
      </c>
      <c r="B3219" s="2" t="s">
        <v>175</v>
      </c>
      <c r="C3219" s="2">
        <v>2</v>
      </c>
      <c r="D3219" s="2">
        <v>2</v>
      </c>
      <c r="E3219" s="2">
        <v>2</v>
      </c>
      <c r="F3219" s="2">
        <v>0</v>
      </c>
      <c r="G3219" s="2">
        <v>0</v>
      </c>
    </row>
    <row r="3220" spans="1:7" x14ac:dyDescent="0.25">
      <c r="A3220" s="2" t="s">
        <v>152</v>
      </c>
      <c r="B3220" s="2" t="s">
        <v>11</v>
      </c>
      <c r="C3220" s="2">
        <v>2</v>
      </c>
      <c r="D3220" s="2">
        <v>2</v>
      </c>
      <c r="E3220" s="2">
        <v>2</v>
      </c>
      <c r="F3220" s="2">
        <v>0</v>
      </c>
      <c r="G3220" s="2">
        <v>0</v>
      </c>
    </row>
    <row r="3221" spans="1:7" x14ac:dyDescent="0.25">
      <c r="A3221" s="2" t="s">
        <v>152</v>
      </c>
      <c r="B3221" s="2" t="s">
        <v>176</v>
      </c>
      <c r="C3221" s="2">
        <v>12</v>
      </c>
      <c r="D3221" s="2">
        <v>12</v>
      </c>
      <c r="E3221" s="2">
        <v>7</v>
      </c>
      <c r="F3221" s="2">
        <v>5</v>
      </c>
      <c r="G3221" s="2">
        <v>0</v>
      </c>
    </row>
    <row r="3222" spans="1:7" x14ac:dyDescent="0.25">
      <c r="A3222" s="2" t="s">
        <v>152</v>
      </c>
      <c r="B3222" s="2" t="s">
        <v>174</v>
      </c>
      <c r="C3222" s="2">
        <v>2</v>
      </c>
      <c r="D3222" s="2">
        <v>2</v>
      </c>
      <c r="E3222" s="2">
        <v>2</v>
      </c>
      <c r="F3222" s="2">
        <v>0</v>
      </c>
      <c r="G3222" s="2">
        <v>0</v>
      </c>
    </row>
    <row r="3223" spans="1:7" x14ac:dyDescent="0.25">
      <c r="A3223" s="2" t="s">
        <v>152</v>
      </c>
      <c r="B3223" s="2" t="s">
        <v>175</v>
      </c>
      <c r="C3223" s="2">
        <v>21</v>
      </c>
      <c r="D3223" s="2">
        <v>21</v>
      </c>
      <c r="E3223" s="2">
        <v>13</v>
      </c>
      <c r="F3223" s="2">
        <v>8</v>
      </c>
      <c r="G3223" s="2">
        <v>0</v>
      </c>
    </row>
    <row r="3224" spans="1:7" x14ac:dyDescent="0.25">
      <c r="A3224" s="2" t="s">
        <v>132</v>
      </c>
      <c r="B3224" s="2" t="s">
        <v>175</v>
      </c>
      <c r="C3224" s="2">
        <v>3</v>
      </c>
      <c r="D3224" s="2">
        <v>3</v>
      </c>
      <c r="E3224" s="2">
        <v>3</v>
      </c>
      <c r="F3224" s="2">
        <v>0</v>
      </c>
      <c r="G3224" s="2">
        <v>0</v>
      </c>
    </row>
    <row r="3225" spans="1:7" x14ac:dyDescent="0.25">
      <c r="A3225" s="2" t="s">
        <v>132</v>
      </c>
      <c r="B3225" s="2" t="s">
        <v>174</v>
      </c>
      <c r="C3225" s="2">
        <v>1</v>
      </c>
      <c r="D3225" s="2">
        <v>1</v>
      </c>
      <c r="E3225" s="2">
        <v>1</v>
      </c>
      <c r="F3225" s="2">
        <v>0</v>
      </c>
      <c r="G3225" s="2">
        <v>0</v>
      </c>
    </row>
    <row r="3226" spans="1:7" x14ac:dyDescent="0.25">
      <c r="A3226" s="2" t="s">
        <v>169</v>
      </c>
      <c r="B3226" s="2" t="s">
        <v>11</v>
      </c>
      <c r="C3226" s="2">
        <v>10</v>
      </c>
      <c r="D3226" s="2">
        <v>9</v>
      </c>
      <c r="E3226" s="2">
        <v>8</v>
      </c>
      <c r="F3226" s="2">
        <v>1</v>
      </c>
      <c r="G3226" s="2">
        <v>0</v>
      </c>
    </row>
    <row r="3227" spans="1:7" x14ac:dyDescent="0.25">
      <c r="A3227" s="2" t="s">
        <v>169</v>
      </c>
      <c r="B3227" s="2" t="s">
        <v>175</v>
      </c>
      <c r="C3227" s="2">
        <v>17</v>
      </c>
      <c r="D3227" s="2">
        <v>15</v>
      </c>
      <c r="E3227" s="2">
        <v>12</v>
      </c>
      <c r="F3227" s="2">
        <v>3</v>
      </c>
      <c r="G3227" s="2">
        <v>0</v>
      </c>
    </row>
    <row r="3228" spans="1:7" x14ac:dyDescent="0.25">
      <c r="A3228" s="2" t="s">
        <v>169</v>
      </c>
      <c r="B3228" s="2" t="s">
        <v>3</v>
      </c>
      <c r="C3228" s="2">
        <v>1</v>
      </c>
      <c r="D3228" s="2">
        <v>1</v>
      </c>
      <c r="E3228" s="2">
        <v>1</v>
      </c>
      <c r="F3228" s="2">
        <v>0</v>
      </c>
      <c r="G3228" s="2">
        <v>0</v>
      </c>
    </row>
    <row r="3229" spans="1:7" x14ac:dyDescent="0.25">
      <c r="A3229" s="2" t="s">
        <v>169</v>
      </c>
      <c r="B3229" s="2" t="s">
        <v>176</v>
      </c>
      <c r="C3229" s="2">
        <v>22</v>
      </c>
      <c r="D3229" s="2">
        <v>22</v>
      </c>
      <c r="E3229" s="2">
        <v>22</v>
      </c>
      <c r="F3229" s="2">
        <v>0</v>
      </c>
      <c r="G3229" s="2">
        <v>0</v>
      </c>
    </row>
    <row r="3230" spans="1:7" x14ac:dyDescent="0.25">
      <c r="A3230" s="2" t="s">
        <v>169</v>
      </c>
      <c r="B3230" s="2" t="s">
        <v>174</v>
      </c>
      <c r="C3230" s="2">
        <v>33</v>
      </c>
      <c r="D3230" s="2">
        <v>31</v>
      </c>
      <c r="E3230" s="2">
        <v>30</v>
      </c>
      <c r="F3230" s="2">
        <v>1</v>
      </c>
      <c r="G3230" s="2">
        <v>0</v>
      </c>
    </row>
    <row r="3231" spans="1:7" x14ac:dyDescent="0.25">
      <c r="A3231" s="2" t="s">
        <v>93</v>
      </c>
      <c r="B3231" s="2" t="s">
        <v>3</v>
      </c>
      <c r="C3231" s="2">
        <v>4</v>
      </c>
      <c r="D3231" s="2">
        <v>2</v>
      </c>
      <c r="E3231" s="2">
        <v>0</v>
      </c>
      <c r="F3231" s="2">
        <v>2</v>
      </c>
      <c r="G3231" s="2">
        <v>0</v>
      </c>
    </row>
    <row r="3232" spans="1:7" x14ac:dyDescent="0.25">
      <c r="A3232" s="2" t="s">
        <v>93</v>
      </c>
      <c r="B3232" s="2" t="s">
        <v>175</v>
      </c>
      <c r="C3232" s="2">
        <v>5</v>
      </c>
      <c r="D3232" s="2">
        <v>5</v>
      </c>
      <c r="E3232" s="2">
        <v>3</v>
      </c>
      <c r="F3232" s="2">
        <v>2</v>
      </c>
      <c r="G3232" s="2">
        <v>0</v>
      </c>
    </row>
    <row r="3233" spans="1:7" x14ac:dyDescent="0.25">
      <c r="A3233" s="2" t="s">
        <v>93</v>
      </c>
      <c r="B3233" s="2" t="s">
        <v>11</v>
      </c>
      <c r="C3233" s="2">
        <v>7</v>
      </c>
      <c r="D3233" s="2">
        <v>7</v>
      </c>
      <c r="E3233" s="2">
        <v>4</v>
      </c>
      <c r="F3233" s="2">
        <v>3</v>
      </c>
      <c r="G3233" s="2">
        <v>0</v>
      </c>
    </row>
    <row r="3234" spans="1:7" x14ac:dyDescent="0.25">
      <c r="A3234" s="2" t="s">
        <v>93</v>
      </c>
      <c r="B3234" s="2" t="s">
        <v>176</v>
      </c>
      <c r="C3234" s="2">
        <v>9</v>
      </c>
      <c r="D3234" s="2">
        <v>8</v>
      </c>
      <c r="E3234" s="2">
        <v>7</v>
      </c>
      <c r="F3234" s="2">
        <v>1</v>
      </c>
      <c r="G3234" s="2">
        <v>0</v>
      </c>
    </row>
    <row r="3235" spans="1:7" x14ac:dyDescent="0.25">
      <c r="A3235" s="2" t="s">
        <v>93</v>
      </c>
      <c r="B3235" s="2" t="s">
        <v>174</v>
      </c>
      <c r="C3235" s="2">
        <v>7</v>
      </c>
      <c r="D3235" s="2">
        <v>7</v>
      </c>
      <c r="E3235" s="2">
        <v>7</v>
      </c>
      <c r="F3235" s="2">
        <v>0</v>
      </c>
      <c r="G3235" s="2">
        <v>0</v>
      </c>
    </row>
    <row r="3236" spans="1:7" x14ac:dyDescent="0.25">
      <c r="A3236" s="2" t="s">
        <v>49</v>
      </c>
      <c r="B3236" s="2" t="s">
        <v>3</v>
      </c>
      <c r="C3236" s="2">
        <v>1</v>
      </c>
      <c r="D3236" s="2">
        <v>1</v>
      </c>
      <c r="E3236" s="2">
        <v>0</v>
      </c>
      <c r="F3236" s="2">
        <v>1</v>
      </c>
      <c r="G3236" s="2">
        <v>0</v>
      </c>
    </row>
    <row r="3237" spans="1:7" x14ac:dyDescent="0.25">
      <c r="A3237" s="2" t="s">
        <v>49</v>
      </c>
      <c r="B3237" s="2" t="s">
        <v>175</v>
      </c>
      <c r="C3237" s="2">
        <v>6</v>
      </c>
      <c r="D3237" s="2">
        <v>6</v>
      </c>
      <c r="E3237" s="2">
        <v>6</v>
      </c>
      <c r="F3237" s="2">
        <v>0</v>
      </c>
      <c r="G3237" s="2">
        <v>0</v>
      </c>
    </row>
    <row r="3238" spans="1:7" x14ac:dyDescent="0.25">
      <c r="A3238" s="2" t="s">
        <v>49</v>
      </c>
      <c r="B3238" s="2" t="s">
        <v>174</v>
      </c>
      <c r="C3238" s="2">
        <v>5</v>
      </c>
      <c r="D3238" s="2">
        <v>5</v>
      </c>
      <c r="E3238" s="2">
        <v>5</v>
      </c>
      <c r="F3238" s="2">
        <v>0</v>
      </c>
      <c r="G3238" s="2">
        <v>0</v>
      </c>
    </row>
    <row r="3239" spans="1:7" x14ac:dyDescent="0.25">
      <c r="A3239" s="2" t="s">
        <v>49</v>
      </c>
      <c r="B3239" s="2" t="s">
        <v>11</v>
      </c>
      <c r="C3239" s="2">
        <v>4</v>
      </c>
      <c r="D3239" s="2">
        <v>4</v>
      </c>
      <c r="E3239" s="2">
        <v>3</v>
      </c>
      <c r="F3239" s="2">
        <v>1</v>
      </c>
      <c r="G3239" s="2">
        <v>0</v>
      </c>
    </row>
    <row r="3240" spans="1:7" x14ac:dyDescent="0.25">
      <c r="A3240" s="2" t="s">
        <v>44</v>
      </c>
      <c r="B3240" s="2" t="s">
        <v>3</v>
      </c>
      <c r="C3240" s="2">
        <v>1</v>
      </c>
      <c r="D3240" s="2">
        <v>0</v>
      </c>
      <c r="E3240" s="2">
        <v>0</v>
      </c>
      <c r="F3240" s="2">
        <v>0</v>
      </c>
      <c r="G3240" s="2">
        <v>0</v>
      </c>
    </row>
    <row r="3241" spans="1:7" x14ac:dyDescent="0.25">
      <c r="A3241" s="2" t="s">
        <v>44</v>
      </c>
      <c r="B3241" s="2" t="s">
        <v>11</v>
      </c>
      <c r="C3241" s="2">
        <v>2</v>
      </c>
      <c r="D3241" s="2">
        <v>2</v>
      </c>
      <c r="E3241" s="2">
        <v>2</v>
      </c>
      <c r="F3241" s="2">
        <v>0</v>
      </c>
      <c r="G3241" s="2">
        <v>0</v>
      </c>
    </row>
    <row r="3242" spans="1:7" x14ac:dyDescent="0.25">
      <c r="A3242" s="2" t="s">
        <v>44</v>
      </c>
      <c r="B3242" s="2" t="s">
        <v>174</v>
      </c>
      <c r="C3242" s="2">
        <v>4</v>
      </c>
      <c r="D3242" s="2">
        <v>4</v>
      </c>
      <c r="E3242" s="2">
        <v>3</v>
      </c>
      <c r="F3242" s="2">
        <v>1</v>
      </c>
      <c r="G3242" s="2">
        <v>0</v>
      </c>
    </row>
    <row r="3243" spans="1:7" x14ac:dyDescent="0.25">
      <c r="A3243" s="2" t="s">
        <v>44</v>
      </c>
      <c r="B3243" s="2" t="s">
        <v>176</v>
      </c>
      <c r="C3243" s="2">
        <v>7</v>
      </c>
      <c r="D3243" s="2">
        <v>7</v>
      </c>
      <c r="E3243" s="2">
        <v>6</v>
      </c>
      <c r="F3243" s="2">
        <v>1</v>
      </c>
      <c r="G3243" s="2">
        <v>0</v>
      </c>
    </row>
    <row r="3244" spans="1:7" x14ac:dyDescent="0.25">
      <c r="A3244" s="2" t="s">
        <v>115</v>
      </c>
      <c r="B3244" s="2" t="s">
        <v>3</v>
      </c>
      <c r="C3244" s="2">
        <v>2</v>
      </c>
      <c r="D3244" s="2">
        <v>0</v>
      </c>
      <c r="E3244" s="2">
        <v>0</v>
      </c>
      <c r="F3244" s="2">
        <v>0</v>
      </c>
      <c r="G3244" s="2">
        <v>0</v>
      </c>
    </row>
    <row r="3245" spans="1:7" x14ac:dyDescent="0.25">
      <c r="A3245" s="2" t="s">
        <v>115</v>
      </c>
      <c r="B3245" s="2" t="s">
        <v>175</v>
      </c>
      <c r="C3245" s="2">
        <v>3</v>
      </c>
      <c r="D3245" s="2">
        <v>3</v>
      </c>
      <c r="E3245" s="2">
        <v>2</v>
      </c>
      <c r="F3245" s="2">
        <v>1</v>
      </c>
      <c r="G3245" s="2">
        <v>0</v>
      </c>
    </row>
    <row r="3246" spans="1:7" x14ac:dyDescent="0.25">
      <c r="A3246" s="2" t="s">
        <v>115</v>
      </c>
      <c r="B3246" s="2" t="s">
        <v>174</v>
      </c>
      <c r="C3246" s="2">
        <v>1</v>
      </c>
      <c r="D3246" s="2">
        <v>1</v>
      </c>
      <c r="E3246" s="2">
        <v>1</v>
      </c>
      <c r="F3246" s="2">
        <v>0</v>
      </c>
      <c r="G3246" s="2">
        <v>0</v>
      </c>
    </row>
    <row r="3247" spans="1:7" x14ac:dyDescent="0.25">
      <c r="A3247" s="2" t="s">
        <v>115</v>
      </c>
      <c r="B3247" s="2" t="s">
        <v>176</v>
      </c>
      <c r="C3247" s="2">
        <v>3</v>
      </c>
      <c r="D3247" s="2">
        <v>3</v>
      </c>
      <c r="E3247" s="2">
        <v>2</v>
      </c>
      <c r="F3247" s="2">
        <v>1</v>
      </c>
      <c r="G3247" s="2">
        <v>0</v>
      </c>
    </row>
    <row r="3248" spans="1:7" x14ac:dyDescent="0.25">
      <c r="A3248" s="2" t="s">
        <v>127</v>
      </c>
      <c r="B3248" s="2" t="s">
        <v>175</v>
      </c>
      <c r="C3248" s="2">
        <v>2</v>
      </c>
      <c r="D3248" s="2">
        <v>2</v>
      </c>
      <c r="E3248" s="2">
        <v>1</v>
      </c>
      <c r="F3248" s="2">
        <v>1</v>
      </c>
      <c r="G3248" s="2">
        <v>0</v>
      </c>
    </row>
    <row r="3249" spans="1:7" x14ac:dyDescent="0.25">
      <c r="A3249" s="2" t="s">
        <v>122</v>
      </c>
      <c r="B3249" s="2" t="s">
        <v>11</v>
      </c>
      <c r="C3249" s="2">
        <v>9</v>
      </c>
      <c r="D3249" s="2">
        <v>9</v>
      </c>
      <c r="E3249" s="2">
        <v>9</v>
      </c>
      <c r="F3249" s="2">
        <v>0</v>
      </c>
      <c r="G3249" s="2">
        <v>0</v>
      </c>
    </row>
    <row r="3250" spans="1:7" x14ac:dyDescent="0.25">
      <c r="A3250" s="2" t="s">
        <v>122</v>
      </c>
      <c r="B3250" s="2" t="s">
        <v>175</v>
      </c>
      <c r="C3250" s="2">
        <v>6</v>
      </c>
      <c r="D3250" s="2">
        <v>6</v>
      </c>
      <c r="E3250" s="2">
        <v>6</v>
      </c>
      <c r="F3250" s="2">
        <v>0</v>
      </c>
      <c r="G3250" s="2">
        <v>0</v>
      </c>
    </row>
    <row r="3251" spans="1:7" x14ac:dyDescent="0.25">
      <c r="A3251" s="2" t="s">
        <v>122</v>
      </c>
      <c r="B3251" s="2" t="s">
        <v>176</v>
      </c>
      <c r="C3251" s="2">
        <v>20</v>
      </c>
      <c r="D3251" s="2">
        <v>20</v>
      </c>
      <c r="E3251" s="2">
        <v>17</v>
      </c>
      <c r="F3251" s="2">
        <v>3</v>
      </c>
      <c r="G3251" s="2">
        <v>0</v>
      </c>
    </row>
    <row r="3252" spans="1:7" x14ac:dyDescent="0.25">
      <c r="A3252" s="2" t="s">
        <v>122</v>
      </c>
      <c r="B3252" s="2" t="s">
        <v>174</v>
      </c>
      <c r="C3252" s="2">
        <v>9</v>
      </c>
      <c r="D3252" s="2">
        <v>9</v>
      </c>
      <c r="E3252" s="2">
        <v>9</v>
      </c>
      <c r="F3252" s="2">
        <v>0</v>
      </c>
      <c r="G3252" s="2">
        <v>0</v>
      </c>
    </row>
    <row r="3253" spans="1:7" x14ac:dyDescent="0.25">
      <c r="A3253" s="2" t="s">
        <v>124</v>
      </c>
      <c r="B3253" s="2" t="s">
        <v>11</v>
      </c>
      <c r="C3253" s="2">
        <v>3</v>
      </c>
      <c r="D3253" s="2">
        <v>3</v>
      </c>
      <c r="E3253" s="2">
        <v>2</v>
      </c>
      <c r="F3253" s="2">
        <v>1</v>
      </c>
      <c r="G3253" s="2">
        <v>0</v>
      </c>
    </row>
    <row r="3254" spans="1:7" x14ac:dyDescent="0.25">
      <c r="A3254" s="2" t="s">
        <v>124</v>
      </c>
      <c r="B3254" s="2" t="s">
        <v>174</v>
      </c>
      <c r="C3254" s="2">
        <v>5</v>
      </c>
      <c r="D3254" s="2">
        <v>5</v>
      </c>
      <c r="E3254" s="2">
        <v>5</v>
      </c>
      <c r="F3254" s="2">
        <v>0</v>
      </c>
      <c r="G3254" s="2">
        <v>0</v>
      </c>
    </row>
    <row r="3255" spans="1:7" x14ac:dyDescent="0.25">
      <c r="A3255" s="2" t="s">
        <v>124</v>
      </c>
      <c r="B3255" s="2" t="s">
        <v>175</v>
      </c>
      <c r="C3255" s="2">
        <v>11</v>
      </c>
      <c r="D3255" s="2">
        <v>11</v>
      </c>
      <c r="E3255" s="2">
        <v>8</v>
      </c>
      <c r="F3255" s="2">
        <v>3</v>
      </c>
      <c r="G3255" s="2">
        <v>0</v>
      </c>
    </row>
    <row r="3256" spans="1:7" x14ac:dyDescent="0.25">
      <c r="A3256" s="2" t="s">
        <v>173</v>
      </c>
      <c r="B3256" s="2" t="s">
        <v>175</v>
      </c>
      <c r="C3256" s="2">
        <v>1</v>
      </c>
      <c r="D3256" s="2">
        <v>1</v>
      </c>
      <c r="E3256" s="2">
        <v>1</v>
      </c>
      <c r="F3256" s="2">
        <v>0</v>
      </c>
      <c r="G3256" s="2">
        <v>0</v>
      </c>
    </row>
    <row r="3257" spans="1:7" x14ac:dyDescent="0.25">
      <c r="A3257" s="2" t="s">
        <v>173</v>
      </c>
      <c r="B3257" s="2" t="s">
        <v>176</v>
      </c>
      <c r="C3257" s="2">
        <v>2</v>
      </c>
      <c r="D3257" s="2">
        <v>2</v>
      </c>
      <c r="E3257" s="2">
        <v>1</v>
      </c>
      <c r="F3257" s="2">
        <v>1</v>
      </c>
      <c r="G3257" s="2">
        <v>0</v>
      </c>
    </row>
    <row r="3258" spans="1:7" x14ac:dyDescent="0.25">
      <c r="A3258" s="2" t="s">
        <v>130</v>
      </c>
      <c r="B3258" s="2" t="s">
        <v>174</v>
      </c>
      <c r="C3258" s="2">
        <v>8</v>
      </c>
      <c r="D3258" s="2">
        <v>7</v>
      </c>
      <c r="E3258" s="2">
        <v>6</v>
      </c>
      <c r="F3258" s="2">
        <v>1</v>
      </c>
      <c r="G3258" s="2">
        <v>0</v>
      </c>
    </row>
    <row r="3259" spans="1:7" x14ac:dyDescent="0.25">
      <c r="A3259" s="2" t="s">
        <v>130</v>
      </c>
      <c r="B3259" s="2" t="s">
        <v>11</v>
      </c>
      <c r="C3259" s="2">
        <v>10</v>
      </c>
      <c r="D3259" s="2">
        <v>10</v>
      </c>
      <c r="E3259" s="2">
        <v>8</v>
      </c>
      <c r="F3259" s="2">
        <v>2</v>
      </c>
      <c r="G3259" s="2">
        <v>0</v>
      </c>
    </row>
    <row r="3260" spans="1:7" x14ac:dyDescent="0.25">
      <c r="A3260" s="2" t="s">
        <v>130</v>
      </c>
      <c r="B3260" s="2" t="s">
        <v>175</v>
      </c>
      <c r="C3260" s="2">
        <v>12</v>
      </c>
      <c r="D3260" s="2">
        <v>11</v>
      </c>
      <c r="E3260" s="2">
        <v>10</v>
      </c>
      <c r="F3260" s="2">
        <v>1</v>
      </c>
      <c r="G3260" s="2">
        <v>0</v>
      </c>
    </row>
    <row r="3261" spans="1:7" x14ac:dyDescent="0.25">
      <c r="A3261" s="2" t="s">
        <v>130</v>
      </c>
      <c r="B3261" s="2" t="s">
        <v>176</v>
      </c>
      <c r="C3261" s="2">
        <v>17</v>
      </c>
      <c r="D3261" s="2">
        <v>17</v>
      </c>
      <c r="E3261" s="2">
        <v>14</v>
      </c>
      <c r="F3261" s="2">
        <v>3</v>
      </c>
      <c r="G3261" s="2">
        <v>0</v>
      </c>
    </row>
    <row r="3262" spans="1:7" x14ac:dyDescent="0.25">
      <c r="A3262" s="2" t="s">
        <v>76</v>
      </c>
      <c r="B3262" s="2" t="s">
        <v>174</v>
      </c>
      <c r="C3262" s="2">
        <v>10</v>
      </c>
      <c r="D3262" s="2">
        <v>10</v>
      </c>
      <c r="E3262" s="2">
        <v>10</v>
      </c>
      <c r="F3262" s="2">
        <v>0</v>
      </c>
      <c r="G3262" s="2">
        <v>0</v>
      </c>
    </row>
    <row r="3263" spans="1:7" x14ac:dyDescent="0.25">
      <c r="A3263" s="2" t="s">
        <v>76</v>
      </c>
      <c r="B3263" s="2" t="s">
        <v>175</v>
      </c>
      <c r="C3263" s="2">
        <v>18</v>
      </c>
      <c r="D3263" s="2">
        <v>16</v>
      </c>
      <c r="E3263" s="2">
        <v>13</v>
      </c>
      <c r="F3263" s="2">
        <v>3</v>
      </c>
      <c r="G3263" s="2">
        <v>0</v>
      </c>
    </row>
    <row r="3264" spans="1:7" x14ac:dyDescent="0.25">
      <c r="A3264" s="2" t="s">
        <v>76</v>
      </c>
      <c r="B3264" s="2" t="s">
        <v>176</v>
      </c>
      <c r="C3264" s="2">
        <v>13</v>
      </c>
      <c r="D3264" s="2">
        <v>13</v>
      </c>
      <c r="E3264" s="2">
        <v>13</v>
      </c>
      <c r="F3264" s="2">
        <v>0</v>
      </c>
      <c r="G3264" s="2">
        <v>0</v>
      </c>
    </row>
    <row r="3265" spans="1:7" x14ac:dyDescent="0.25">
      <c r="A3265" s="2" t="s">
        <v>150</v>
      </c>
      <c r="B3265" s="2" t="s">
        <v>175</v>
      </c>
      <c r="C3265" s="2">
        <v>5</v>
      </c>
      <c r="D3265" s="2">
        <v>5</v>
      </c>
      <c r="E3265" s="2">
        <v>1</v>
      </c>
      <c r="F3265" s="2">
        <v>4</v>
      </c>
      <c r="G3265" s="2">
        <v>0</v>
      </c>
    </row>
    <row r="3266" spans="1:7" x14ac:dyDescent="0.25">
      <c r="A3266" s="2" t="s">
        <v>137</v>
      </c>
      <c r="B3266" s="2" t="s">
        <v>176</v>
      </c>
      <c r="C3266" s="2">
        <v>5</v>
      </c>
      <c r="D3266" s="2">
        <v>5</v>
      </c>
      <c r="E3266" s="2">
        <v>5</v>
      </c>
      <c r="F3266" s="2">
        <v>0</v>
      </c>
      <c r="G3266" s="2">
        <v>0</v>
      </c>
    </row>
    <row r="3267" spans="1:7" x14ac:dyDescent="0.25">
      <c r="A3267" s="2" t="s">
        <v>137</v>
      </c>
      <c r="B3267" s="2" t="s">
        <v>11</v>
      </c>
      <c r="C3267" s="2">
        <v>9</v>
      </c>
      <c r="D3267" s="2">
        <v>9</v>
      </c>
      <c r="E3267" s="2">
        <v>8</v>
      </c>
      <c r="F3267" s="2">
        <v>1</v>
      </c>
      <c r="G3267" s="2">
        <v>0</v>
      </c>
    </row>
    <row r="3268" spans="1:7" x14ac:dyDescent="0.25">
      <c r="A3268" s="2" t="s">
        <v>137</v>
      </c>
      <c r="B3268" s="2" t="s">
        <v>175</v>
      </c>
      <c r="C3268" s="2">
        <v>53</v>
      </c>
      <c r="D3268" s="2">
        <v>45</v>
      </c>
      <c r="E3268" s="2">
        <v>36</v>
      </c>
      <c r="F3268" s="2">
        <v>9</v>
      </c>
      <c r="G3268" s="2">
        <v>2</v>
      </c>
    </row>
    <row r="3269" spans="1:7" x14ac:dyDescent="0.25">
      <c r="A3269" s="2" t="s">
        <v>137</v>
      </c>
      <c r="B3269" s="2" t="s">
        <v>3</v>
      </c>
      <c r="C3269" s="2">
        <v>3</v>
      </c>
      <c r="D3269" s="2">
        <v>3</v>
      </c>
      <c r="E3269" s="2">
        <v>3</v>
      </c>
      <c r="F3269" s="2">
        <v>0</v>
      </c>
      <c r="G3269" s="2">
        <v>0</v>
      </c>
    </row>
    <row r="3270" spans="1:7" x14ac:dyDescent="0.25">
      <c r="A3270" s="2" t="s">
        <v>137</v>
      </c>
      <c r="B3270" s="2" t="s">
        <v>174</v>
      </c>
      <c r="C3270" s="2">
        <v>41</v>
      </c>
      <c r="D3270" s="2">
        <v>39</v>
      </c>
      <c r="E3270" s="2">
        <v>35</v>
      </c>
      <c r="F3270" s="2">
        <v>4</v>
      </c>
      <c r="G3270" s="2">
        <v>0</v>
      </c>
    </row>
    <row r="3271" spans="1:7" x14ac:dyDescent="0.25">
      <c r="A3271" s="2" t="s">
        <v>180</v>
      </c>
      <c r="B3271" s="2" t="s">
        <v>11</v>
      </c>
      <c r="C3271" s="2">
        <v>2</v>
      </c>
      <c r="D3271" s="2">
        <v>2</v>
      </c>
      <c r="E3271" s="2">
        <v>1</v>
      </c>
      <c r="F3271" s="2">
        <v>1</v>
      </c>
      <c r="G3271" s="2">
        <v>0</v>
      </c>
    </row>
    <row r="3272" spans="1:7" x14ac:dyDescent="0.25">
      <c r="A3272" s="2" t="s">
        <v>180</v>
      </c>
      <c r="B3272" s="2" t="s">
        <v>176</v>
      </c>
      <c r="C3272" s="2">
        <v>2</v>
      </c>
      <c r="D3272" s="2">
        <v>2</v>
      </c>
      <c r="E3272" s="2">
        <v>2</v>
      </c>
      <c r="F3272" s="2">
        <v>0</v>
      </c>
      <c r="G3272" s="2">
        <v>0</v>
      </c>
    </row>
    <row r="3273" spans="1:7" x14ac:dyDescent="0.25">
      <c r="A3273" s="2" t="s">
        <v>180</v>
      </c>
      <c r="B3273" s="2" t="s">
        <v>175</v>
      </c>
      <c r="C3273" s="2">
        <v>1</v>
      </c>
      <c r="D3273" s="2">
        <v>1</v>
      </c>
      <c r="E3273" s="2">
        <v>1</v>
      </c>
      <c r="F3273" s="2">
        <v>0</v>
      </c>
      <c r="G3273" s="2">
        <v>0</v>
      </c>
    </row>
    <row r="3274" spans="1:7" x14ac:dyDescent="0.25">
      <c r="A3274" s="2" t="s">
        <v>180</v>
      </c>
      <c r="B3274" s="2" t="s">
        <v>174</v>
      </c>
      <c r="C3274" s="2">
        <v>2</v>
      </c>
      <c r="D3274" s="2">
        <v>2</v>
      </c>
      <c r="E3274" s="2">
        <v>2</v>
      </c>
      <c r="F3274" s="2">
        <v>0</v>
      </c>
      <c r="G3274" s="2">
        <v>0</v>
      </c>
    </row>
    <row r="3275" spans="1:7" x14ac:dyDescent="0.25">
      <c r="A3275" s="2" t="s">
        <v>70</v>
      </c>
      <c r="B3275" s="2" t="s">
        <v>3</v>
      </c>
      <c r="C3275" s="2">
        <v>1</v>
      </c>
      <c r="D3275" s="2">
        <v>1</v>
      </c>
      <c r="E3275" s="2">
        <v>0</v>
      </c>
      <c r="F3275" s="2">
        <v>1</v>
      </c>
      <c r="G3275" s="2">
        <v>0</v>
      </c>
    </row>
    <row r="3276" spans="1:7" x14ac:dyDescent="0.25">
      <c r="A3276" s="2" t="s">
        <v>70</v>
      </c>
      <c r="B3276" s="2" t="s">
        <v>11</v>
      </c>
      <c r="C3276" s="2">
        <v>3</v>
      </c>
      <c r="D3276" s="2">
        <v>3</v>
      </c>
      <c r="E3276" s="2">
        <v>3</v>
      </c>
      <c r="F3276" s="2">
        <v>0</v>
      </c>
      <c r="G3276" s="2">
        <v>0</v>
      </c>
    </row>
    <row r="3277" spans="1:7" x14ac:dyDescent="0.25">
      <c r="A3277" s="2" t="s">
        <v>70</v>
      </c>
      <c r="B3277" s="2" t="s">
        <v>174</v>
      </c>
      <c r="C3277" s="2">
        <v>5</v>
      </c>
      <c r="D3277" s="2">
        <v>5</v>
      </c>
      <c r="E3277" s="2">
        <v>0</v>
      </c>
      <c r="F3277" s="2">
        <v>5</v>
      </c>
      <c r="G3277" s="2">
        <v>0</v>
      </c>
    </row>
    <row r="3278" spans="1:7" x14ac:dyDescent="0.25">
      <c r="A3278" s="2" t="s">
        <v>70</v>
      </c>
      <c r="B3278" s="2" t="s">
        <v>176</v>
      </c>
      <c r="C3278" s="2">
        <v>1</v>
      </c>
      <c r="D3278" s="2">
        <v>1</v>
      </c>
      <c r="E3278" s="2">
        <v>1</v>
      </c>
      <c r="F3278" s="2">
        <v>0</v>
      </c>
      <c r="G3278" s="2">
        <v>0</v>
      </c>
    </row>
    <row r="3279" spans="1:7" x14ac:dyDescent="0.25">
      <c r="A3279" s="2" t="s">
        <v>70</v>
      </c>
      <c r="B3279" s="2" t="s">
        <v>175</v>
      </c>
      <c r="C3279" s="2">
        <v>8</v>
      </c>
      <c r="D3279" s="2">
        <v>8</v>
      </c>
      <c r="E3279" s="2">
        <v>4</v>
      </c>
      <c r="F3279" s="2">
        <v>4</v>
      </c>
      <c r="G3279" s="2">
        <v>0</v>
      </c>
    </row>
    <row r="3280" spans="1:7" x14ac:dyDescent="0.25">
      <c r="A3280" s="3" t="s">
        <v>47</v>
      </c>
      <c r="B3280" s="3" t="s">
        <v>175</v>
      </c>
      <c r="C3280" s="3">
        <v>11</v>
      </c>
      <c r="D3280" s="3">
        <v>11</v>
      </c>
      <c r="E3280" s="3">
        <v>7</v>
      </c>
      <c r="F3280" s="3">
        <v>4</v>
      </c>
      <c r="G3280" s="3">
        <v>0</v>
      </c>
    </row>
    <row r="3281" spans="1:7" x14ac:dyDescent="0.25">
      <c r="A3281" s="3" t="s">
        <v>47</v>
      </c>
      <c r="B3281" s="3" t="s">
        <v>176</v>
      </c>
      <c r="C3281" s="3">
        <v>3</v>
      </c>
      <c r="D3281" s="3">
        <v>3</v>
      </c>
      <c r="E3281" s="3">
        <v>3</v>
      </c>
      <c r="F3281" s="3">
        <v>0</v>
      </c>
      <c r="G3281" s="3">
        <v>0</v>
      </c>
    </row>
    <row r="3282" spans="1:7" x14ac:dyDescent="0.25">
      <c r="A3282" s="3" t="s">
        <v>47</v>
      </c>
      <c r="B3282" s="3" t="s">
        <v>11</v>
      </c>
      <c r="C3282" s="3">
        <v>2</v>
      </c>
      <c r="D3282" s="3">
        <v>2</v>
      </c>
      <c r="E3282" s="3">
        <v>2</v>
      </c>
      <c r="F3282" s="3">
        <v>0</v>
      </c>
      <c r="G3282" s="3">
        <v>0</v>
      </c>
    </row>
    <row r="3283" spans="1:7" x14ac:dyDescent="0.25">
      <c r="A3283" s="3" t="s">
        <v>47</v>
      </c>
      <c r="B3283" s="3" t="s">
        <v>174</v>
      </c>
      <c r="C3283" s="3">
        <v>5</v>
      </c>
      <c r="D3283" s="3">
        <v>5</v>
      </c>
      <c r="E3283" s="3">
        <v>5</v>
      </c>
      <c r="F3283" s="3">
        <v>0</v>
      </c>
      <c r="G3283" s="3">
        <v>0</v>
      </c>
    </row>
    <row r="3284" spans="1:7" x14ac:dyDescent="0.25">
      <c r="A3284" s="3" t="s">
        <v>77</v>
      </c>
      <c r="B3284" s="3" t="s">
        <v>11</v>
      </c>
      <c r="C3284" s="3">
        <v>20</v>
      </c>
      <c r="D3284" s="3">
        <v>19</v>
      </c>
      <c r="E3284" s="3">
        <v>11</v>
      </c>
      <c r="F3284" s="3">
        <v>8</v>
      </c>
      <c r="G3284" s="3">
        <v>0</v>
      </c>
    </row>
    <row r="3285" spans="1:7" x14ac:dyDescent="0.25">
      <c r="A3285" s="3" t="s">
        <v>77</v>
      </c>
      <c r="B3285" s="3" t="s">
        <v>175</v>
      </c>
      <c r="C3285" s="3">
        <v>2</v>
      </c>
      <c r="D3285" s="3">
        <v>2</v>
      </c>
      <c r="E3285" s="3">
        <v>0</v>
      </c>
      <c r="F3285" s="3">
        <v>2</v>
      </c>
      <c r="G3285" s="3">
        <v>0</v>
      </c>
    </row>
    <row r="3286" spans="1:7" x14ac:dyDescent="0.25">
      <c r="A3286" s="3" t="s">
        <v>77</v>
      </c>
      <c r="B3286" s="3" t="s">
        <v>176</v>
      </c>
      <c r="C3286" s="3">
        <v>19</v>
      </c>
      <c r="D3286" s="3">
        <v>18</v>
      </c>
      <c r="E3286" s="3">
        <v>13</v>
      </c>
      <c r="F3286" s="3">
        <v>5</v>
      </c>
      <c r="G3286" s="3">
        <v>0</v>
      </c>
    </row>
    <row r="3287" spans="1:7" x14ac:dyDescent="0.25">
      <c r="A3287" s="3" t="s">
        <v>77</v>
      </c>
      <c r="B3287" s="3" t="s">
        <v>174</v>
      </c>
      <c r="C3287" s="3">
        <v>23</v>
      </c>
      <c r="D3287" s="3">
        <v>23</v>
      </c>
      <c r="E3287" s="3">
        <v>19</v>
      </c>
      <c r="F3287" s="3">
        <v>4</v>
      </c>
      <c r="G3287" s="3">
        <v>0</v>
      </c>
    </row>
    <row r="3288" spans="1:7" x14ac:dyDescent="0.25">
      <c r="A3288" s="3" t="s">
        <v>184</v>
      </c>
      <c r="B3288" s="3" t="s">
        <v>11</v>
      </c>
      <c r="C3288" s="3">
        <v>22</v>
      </c>
      <c r="D3288" s="3">
        <v>20</v>
      </c>
      <c r="E3288" s="3">
        <v>17</v>
      </c>
      <c r="F3288" s="3">
        <v>3</v>
      </c>
      <c r="G3288" s="3">
        <v>0</v>
      </c>
    </row>
    <row r="3289" spans="1:7" x14ac:dyDescent="0.25">
      <c r="A3289" s="3" t="s">
        <v>184</v>
      </c>
      <c r="B3289" s="3" t="s">
        <v>174</v>
      </c>
      <c r="C3289" s="3">
        <v>14</v>
      </c>
      <c r="D3289" s="3">
        <v>14</v>
      </c>
      <c r="E3289" s="3">
        <v>4</v>
      </c>
      <c r="F3289" s="3">
        <v>10</v>
      </c>
      <c r="G3289" s="3">
        <v>0</v>
      </c>
    </row>
    <row r="3290" spans="1:7" x14ac:dyDescent="0.25">
      <c r="A3290" s="3" t="s">
        <v>184</v>
      </c>
      <c r="B3290" s="3" t="s">
        <v>176</v>
      </c>
      <c r="C3290" s="3">
        <v>56</v>
      </c>
      <c r="D3290" s="3">
        <v>56</v>
      </c>
      <c r="E3290" s="3">
        <v>37</v>
      </c>
      <c r="F3290" s="3">
        <v>19</v>
      </c>
      <c r="G3290" s="3">
        <v>0</v>
      </c>
    </row>
    <row r="3291" spans="1:7" x14ac:dyDescent="0.25">
      <c r="A3291" s="3" t="s">
        <v>22</v>
      </c>
      <c r="B3291" s="3" t="s">
        <v>176</v>
      </c>
      <c r="C3291" s="3">
        <v>6</v>
      </c>
      <c r="D3291" s="3">
        <v>5</v>
      </c>
      <c r="E3291" s="3">
        <v>5</v>
      </c>
      <c r="F3291" s="3">
        <v>0</v>
      </c>
      <c r="G3291" s="3">
        <v>0</v>
      </c>
    </row>
    <row r="3292" spans="1:7" x14ac:dyDescent="0.25">
      <c r="A3292" s="3" t="s">
        <v>22</v>
      </c>
      <c r="B3292" s="3" t="s">
        <v>175</v>
      </c>
      <c r="C3292" s="3">
        <v>23</v>
      </c>
      <c r="D3292" s="3">
        <v>23</v>
      </c>
      <c r="E3292" s="3">
        <v>21</v>
      </c>
      <c r="F3292" s="3">
        <v>2</v>
      </c>
      <c r="G3292" s="3">
        <v>0</v>
      </c>
    </row>
    <row r="3293" spans="1:7" x14ac:dyDescent="0.25">
      <c r="A3293" s="3" t="s">
        <v>22</v>
      </c>
      <c r="B3293" s="3" t="s">
        <v>174</v>
      </c>
      <c r="C3293" s="3">
        <v>14</v>
      </c>
      <c r="D3293" s="3">
        <v>14</v>
      </c>
      <c r="E3293" s="3">
        <v>9</v>
      </c>
      <c r="F3293" s="3">
        <v>5</v>
      </c>
      <c r="G3293" s="3">
        <v>0</v>
      </c>
    </row>
    <row r="3294" spans="1:7" x14ac:dyDescent="0.25">
      <c r="A3294" s="3" t="s">
        <v>22</v>
      </c>
      <c r="B3294" s="3" t="s">
        <v>11</v>
      </c>
      <c r="C3294" s="3">
        <v>6</v>
      </c>
      <c r="D3294" s="3">
        <v>5</v>
      </c>
      <c r="E3294" s="3">
        <v>3</v>
      </c>
      <c r="F3294" s="3">
        <v>2</v>
      </c>
      <c r="G3294" s="3">
        <v>1</v>
      </c>
    </row>
    <row r="3295" spans="1:7" x14ac:dyDescent="0.25">
      <c r="A3295" s="3" t="s">
        <v>126</v>
      </c>
      <c r="B3295" s="3" t="s">
        <v>11</v>
      </c>
      <c r="C3295" s="3">
        <v>17</v>
      </c>
      <c r="D3295" s="3">
        <v>16</v>
      </c>
      <c r="E3295" s="3">
        <v>9</v>
      </c>
      <c r="F3295" s="3">
        <v>7</v>
      </c>
      <c r="G3295" s="3">
        <v>0</v>
      </c>
    </row>
    <row r="3296" spans="1:7" x14ac:dyDescent="0.25">
      <c r="A3296" s="3" t="s">
        <v>126</v>
      </c>
      <c r="B3296" s="3" t="s">
        <v>176</v>
      </c>
      <c r="C3296" s="3">
        <v>19</v>
      </c>
      <c r="D3296" s="3">
        <v>18</v>
      </c>
      <c r="E3296" s="3">
        <v>13</v>
      </c>
      <c r="F3296" s="3">
        <v>5</v>
      </c>
      <c r="G3296" s="3">
        <v>0</v>
      </c>
    </row>
    <row r="3297" spans="1:7" x14ac:dyDescent="0.25">
      <c r="A3297" s="3" t="s">
        <v>126</v>
      </c>
      <c r="B3297" s="3" t="s">
        <v>174</v>
      </c>
      <c r="C3297" s="3">
        <v>15</v>
      </c>
      <c r="D3297" s="3">
        <v>15</v>
      </c>
      <c r="E3297" s="3">
        <v>10</v>
      </c>
      <c r="F3297" s="3">
        <v>5</v>
      </c>
      <c r="G3297" s="3">
        <v>0</v>
      </c>
    </row>
    <row r="3298" spans="1:7" x14ac:dyDescent="0.25">
      <c r="A3298" s="3" t="s">
        <v>123</v>
      </c>
      <c r="B3298" s="3" t="s">
        <v>11</v>
      </c>
      <c r="C3298" s="3">
        <v>59</v>
      </c>
      <c r="D3298" s="3">
        <v>57</v>
      </c>
      <c r="E3298" s="3">
        <v>26</v>
      </c>
      <c r="F3298" s="3">
        <v>31</v>
      </c>
      <c r="G3298" s="3">
        <v>0</v>
      </c>
    </row>
    <row r="3299" spans="1:7" x14ac:dyDescent="0.25">
      <c r="A3299" s="3" t="s">
        <v>123</v>
      </c>
      <c r="B3299" s="3" t="s">
        <v>176</v>
      </c>
      <c r="C3299" s="3">
        <v>31</v>
      </c>
      <c r="D3299" s="3">
        <v>28</v>
      </c>
      <c r="E3299" s="3">
        <v>19</v>
      </c>
      <c r="F3299" s="3">
        <v>9</v>
      </c>
      <c r="G3299" s="3">
        <v>0</v>
      </c>
    </row>
    <row r="3300" spans="1:7" x14ac:dyDescent="0.25">
      <c r="A3300" s="3" t="s">
        <v>123</v>
      </c>
      <c r="B3300" s="3" t="s">
        <v>174</v>
      </c>
      <c r="C3300" s="3">
        <v>29</v>
      </c>
      <c r="D3300" s="3">
        <v>27</v>
      </c>
      <c r="E3300" s="3">
        <v>10</v>
      </c>
      <c r="F3300" s="3">
        <v>17</v>
      </c>
      <c r="G3300" s="3">
        <v>0</v>
      </c>
    </row>
    <row r="3301" spans="1:7" x14ac:dyDescent="0.25">
      <c r="A3301" s="3" t="s">
        <v>31</v>
      </c>
      <c r="B3301" s="3" t="s">
        <v>11</v>
      </c>
      <c r="C3301" s="3">
        <v>19</v>
      </c>
      <c r="D3301" s="3">
        <v>19</v>
      </c>
      <c r="E3301" s="3">
        <v>19</v>
      </c>
      <c r="F3301" s="3">
        <v>0</v>
      </c>
      <c r="G3301" s="3">
        <v>0</v>
      </c>
    </row>
    <row r="3302" spans="1:7" x14ac:dyDescent="0.25">
      <c r="A3302" s="3" t="s">
        <v>31</v>
      </c>
      <c r="B3302" s="3" t="s">
        <v>176</v>
      </c>
      <c r="C3302" s="3">
        <v>6</v>
      </c>
      <c r="D3302" s="3">
        <v>6</v>
      </c>
      <c r="E3302" s="3">
        <v>6</v>
      </c>
      <c r="F3302" s="3">
        <v>0</v>
      </c>
      <c r="G3302" s="3">
        <v>0</v>
      </c>
    </row>
    <row r="3303" spans="1:7" x14ac:dyDescent="0.25">
      <c r="A3303" s="3" t="s">
        <v>31</v>
      </c>
      <c r="B3303" s="3" t="s">
        <v>175</v>
      </c>
      <c r="C3303" s="3">
        <v>34</v>
      </c>
      <c r="D3303" s="3">
        <v>34</v>
      </c>
      <c r="E3303" s="3">
        <v>25</v>
      </c>
      <c r="F3303" s="3">
        <v>9</v>
      </c>
      <c r="G3303" s="3">
        <v>0</v>
      </c>
    </row>
    <row r="3304" spans="1:7" x14ac:dyDescent="0.25">
      <c r="A3304" s="3" t="s">
        <v>31</v>
      </c>
      <c r="B3304" s="3" t="s">
        <v>174</v>
      </c>
      <c r="C3304" s="3">
        <v>24</v>
      </c>
      <c r="D3304" s="3">
        <v>24</v>
      </c>
      <c r="E3304" s="3">
        <v>18</v>
      </c>
      <c r="F3304" s="3">
        <v>6</v>
      </c>
      <c r="G3304" s="3">
        <v>0</v>
      </c>
    </row>
    <row r="3305" spans="1:7" x14ac:dyDescent="0.25">
      <c r="A3305" s="3" t="s">
        <v>149</v>
      </c>
      <c r="B3305" s="3" t="s">
        <v>11</v>
      </c>
      <c r="C3305" s="3">
        <v>11</v>
      </c>
      <c r="D3305" s="3">
        <v>11</v>
      </c>
      <c r="E3305" s="3">
        <v>7</v>
      </c>
      <c r="F3305" s="3">
        <v>4</v>
      </c>
      <c r="G3305" s="3">
        <v>0</v>
      </c>
    </row>
    <row r="3306" spans="1:7" x14ac:dyDescent="0.25">
      <c r="A3306" s="3" t="s">
        <v>149</v>
      </c>
      <c r="B3306" s="3" t="s">
        <v>175</v>
      </c>
      <c r="C3306" s="3">
        <v>21</v>
      </c>
      <c r="D3306" s="3">
        <v>21</v>
      </c>
      <c r="E3306" s="3">
        <v>14</v>
      </c>
      <c r="F3306" s="3">
        <v>7</v>
      </c>
      <c r="G3306" s="3">
        <v>0</v>
      </c>
    </row>
    <row r="3307" spans="1:7" x14ac:dyDescent="0.25">
      <c r="A3307" s="3" t="s">
        <v>149</v>
      </c>
      <c r="B3307" s="3" t="s">
        <v>176</v>
      </c>
      <c r="C3307" s="3">
        <v>18</v>
      </c>
      <c r="D3307" s="3">
        <v>18</v>
      </c>
      <c r="E3307" s="3">
        <v>13</v>
      </c>
      <c r="F3307" s="3">
        <v>5</v>
      </c>
      <c r="G3307" s="3">
        <v>0</v>
      </c>
    </row>
    <row r="3308" spans="1:7" x14ac:dyDescent="0.25">
      <c r="A3308" s="3" t="s">
        <v>149</v>
      </c>
      <c r="B3308" s="3" t="s">
        <v>174</v>
      </c>
      <c r="C3308" s="3">
        <v>8</v>
      </c>
      <c r="D3308" s="3">
        <v>8</v>
      </c>
      <c r="E3308" s="3">
        <v>6</v>
      </c>
      <c r="F3308" s="3">
        <v>2</v>
      </c>
      <c r="G3308" s="3">
        <v>0</v>
      </c>
    </row>
    <row r="3309" spans="1:7" x14ac:dyDescent="0.25">
      <c r="A3309" s="3" t="s">
        <v>168</v>
      </c>
      <c r="B3309" s="3" t="s">
        <v>11</v>
      </c>
      <c r="C3309" s="3">
        <v>3</v>
      </c>
      <c r="D3309" s="3">
        <v>3</v>
      </c>
      <c r="E3309" s="3">
        <v>1</v>
      </c>
      <c r="F3309" s="3">
        <v>2</v>
      </c>
      <c r="G3309" s="3">
        <v>0</v>
      </c>
    </row>
    <row r="3310" spans="1:7" x14ac:dyDescent="0.25">
      <c r="A3310" s="3" t="s">
        <v>168</v>
      </c>
      <c r="B3310" s="3" t="s">
        <v>174</v>
      </c>
      <c r="C3310" s="3">
        <v>3</v>
      </c>
      <c r="D3310" s="3">
        <v>3</v>
      </c>
      <c r="E3310" s="3">
        <v>2</v>
      </c>
      <c r="F3310" s="3">
        <v>1</v>
      </c>
      <c r="G3310" s="3">
        <v>0</v>
      </c>
    </row>
    <row r="3311" spans="1:7" x14ac:dyDescent="0.25">
      <c r="A3311" s="3" t="s">
        <v>168</v>
      </c>
      <c r="B3311" s="3" t="s">
        <v>176</v>
      </c>
      <c r="C3311" s="3">
        <v>28</v>
      </c>
      <c r="D3311" s="3">
        <v>26</v>
      </c>
      <c r="E3311" s="3">
        <v>19</v>
      </c>
      <c r="F3311" s="3">
        <v>7</v>
      </c>
      <c r="G3311" s="3">
        <v>1</v>
      </c>
    </row>
    <row r="3312" spans="1:7" x14ac:dyDescent="0.25">
      <c r="A3312" s="3" t="s">
        <v>32</v>
      </c>
      <c r="B3312" s="3" t="s">
        <v>175</v>
      </c>
      <c r="C3312" s="3">
        <v>66</v>
      </c>
      <c r="D3312" s="3">
        <v>65</v>
      </c>
      <c r="E3312" s="3">
        <v>59</v>
      </c>
      <c r="F3312" s="3">
        <v>6</v>
      </c>
      <c r="G3312" s="3">
        <v>1</v>
      </c>
    </row>
    <row r="3313" spans="1:7" x14ac:dyDescent="0.25">
      <c r="A3313" s="3" t="s">
        <v>32</v>
      </c>
      <c r="B3313" s="3" t="s">
        <v>174</v>
      </c>
      <c r="C3313" s="3">
        <v>39</v>
      </c>
      <c r="D3313" s="3">
        <v>38</v>
      </c>
      <c r="E3313" s="3">
        <v>36</v>
      </c>
      <c r="F3313" s="3">
        <v>2</v>
      </c>
      <c r="G3313" s="3">
        <v>0</v>
      </c>
    </row>
    <row r="3314" spans="1:7" x14ac:dyDescent="0.25">
      <c r="A3314" s="3" t="s">
        <v>32</v>
      </c>
      <c r="B3314" s="3" t="s">
        <v>176</v>
      </c>
      <c r="C3314" s="3">
        <v>31</v>
      </c>
      <c r="D3314" s="3">
        <v>31</v>
      </c>
      <c r="E3314" s="3">
        <v>29</v>
      </c>
      <c r="F3314" s="3">
        <v>2</v>
      </c>
      <c r="G3314" s="3">
        <v>0</v>
      </c>
    </row>
    <row r="3315" spans="1:7" x14ac:dyDescent="0.25">
      <c r="A3315" s="3" t="s">
        <v>32</v>
      </c>
      <c r="B3315" s="3" t="s">
        <v>11</v>
      </c>
      <c r="C3315" s="3">
        <v>21</v>
      </c>
      <c r="D3315" s="3">
        <v>20</v>
      </c>
      <c r="E3315" s="3">
        <v>16</v>
      </c>
      <c r="F3315" s="3">
        <v>4</v>
      </c>
      <c r="G3315" s="3">
        <v>0</v>
      </c>
    </row>
    <row r="3316" spans="1:7" x14ac:dyDescent="0.25">
      <c r="A3316" s="3" t="s">
        <v>116</v>
      </c>
      <c r="B3316" s="3" t="s">
        <v>174</v>
      </c>
      <c r="C3316" s="3">
        <v>15</v>
      </c>
      <c r="D3316" s="3">
        <v>15</v>
      </c>
      <c r="E3316" s="3">
        <v>8</v>
      </c>
      <c r="F3316" s="3">
        <v>7</v>
      </c>
      <c r="G3316" s="3">
        <v>0</v>
      </c>
    </row>
    <row r="3317" spans="1:7" x14ac:dyDescent="0.25">
      <c r="A3317" s="3" t="s">
        <v>116</v>
      </c>
      <c r="B3317" s="3" t="s">
        <v>176</v>
      </c>
      <c r="C3317" s="3">
        <v>10</v>
      </c>
      <c r="D3317" s="3">
        <v>10</v>
      </c>
      <c r="E3317" s="3">
        <v>5</v>
      </c>
      <c r="F3317" s="3">
        <v>5</v>
      </c>
      <c r="G3317" s="3">
        <v>0</v>
      </c>
    </row>
    <row r="3318" spans="1:7" x14ac:dyDescent="0.25">
      <c r="A3318" s="3" t="s">
        <v>116</v>
      </c>
      <c r="B3318" s="3" t="s">
        <v>11</v>
      </c>
      <c r="C3318" s="3">
        <v>12</v>
      </c>
      <c r="D3318" s="3">
        <v>12</v>
      </c>
      <c r="E3318" s="3">
        <v>7</v>
      </c>
      <c r="F3318" s="3">
        <v>5</v>
      </c>
      <c r="G3318" s="3">
        <v>0</v>
      </c>
    </row>
    <row r="3319" spans="1:7" x14ac:dyDescent="0.25">
      <c r="A3319" s="3" t="s">
        <v>78</v>
      </c>
      <c r="B3319" s="3" t="s">
        <v>176</v>
      </c>
      <c r="C3319" s="3">
        <v>4</v>
      </c>
      <c r="D3319" s="3">
        <v>4</v>
      </c>
      <c r="E3319" s="3">
        <v>3</v>
      </c>
      <c r="F3319" s="3">
        <v>1</v>
      </c>
      <c r="G3319" s="3">
        <v>0</v>
      </c>
    </row>
    <row r="3320" spans="1:7" x14ac:dyDescent="0.25">
      <c r="A3320" s="3" t="s">
        <v>78</v>
      </c>
      <c r="B3320" s="3" t="s">
        <v>11</v>
      </c>
      <c r="C3320" s="3">
        <v>5</v>
      </c>
      <c r="D3320" s="3">
        <v>5</v>
      </c>
      <c r="E3320" s="3">
        <v>5</v>
      </c>
      <c r="F3320" s="3">
        <v>0</v>
      </c>
      <c r="G3320" s="3">
        <v>0</v>
      </c>
    </row>
    <row r="3321" spans="1:7" x14ac:dyDescent="0.25">
      <c r="A3321" s="3" t="s">
        <v>78</v>
      </c>
      <c r="B3321" s="3" t="s">
        <v>174</v>
      </c>
      <c r="C3321" s="3">
        <v>4</v>
      </c>
      <c r="D3321" s="3">
        <v>4</v>
      </c>
      <c r="E3321" s="3">
        <v>3</v>
      </c>
      <c r="F3321" s="3">
        <v>1</v>
      </c>
      <c r="G3321" s="3">
        <v>0</v>
      </c>
    </row>
    <row r="3322" spans="1:7" x14ac:dyDescent="0.25">
      <c r="A3322" s="3" t="s">
        <v>112</v>
      </c>
      <c r="B3322" s="3" t="s">
        <v>175</v>
      </c>
      <c r="C3322" s="3">
        <v>1</v>
      </c>
      <c r="D3322" s="3">
        <v>1</v>
      </c>
      <c r="E3322" s="3">
        <v>0</v>
      </c>
      <c r="F3322" s="3">
        <v>1</v>
      </c>
      <c r="G3322" s="3">
        <v>0</v>
      </c>
    </row>
    <row r="3323" spans="1:7" x14ac:dyDescent="0.25">
      <c r="A3323" s="3" t="s">
        <v>112</v>
      </c>
      <c r="B3323" s="3" t="s">
        <v>176</v>
      </c>
      <c r="C3323" s="3">
        <v>34</v>
      </c>
      <c r="D3323" s="3">
        <v>31</v>
      </c>
      <c r="E3323" s="3">
        <v>23</v>
      </c>
      <c r="F3323" s="3">
        <v>8</v>
      </c>
      <c r="G3323" s="3">
        <v>0</v>
      </c>
    </row>
    <row r="3324" spans="1:7" x14ac:dyDescent="0.25">
      <c r="A3324" s="3" t="s">
        <v>112</v>
      </c>
      <c r="B3324" s="3" t="s">
        <v>174</v>
      </c>
      <c r="C3324" s="3">
        <v>19</v>
      </c>
      <c r="D3324" s="3">
        <v>18</v>
      </c>
      <c r="E3324" s="3">
        <v>9</v>
      </c>
      <c r="F3324" s="3">
        <v>9</v>
      </c>
      <c r="G3324" s="3">
        <v>0</v>
      </c>
    </row>
    <row r="3325" spans="1:7" x14ac:dyDescent="0.25">
      <c r="A3325" s="3" t="s">
        <v>112</v>
      </c>
      <c r="B3325" s="3" t="s">
        <v>11</v>
      </c>
      <c r="C3325" s="3">
        <v>10</v>
      </c>
      <c r="D3325" s="3">
        <v>8</v>
      </c>
      <c r="E3325" s="3">
        <v>5</v>
      </c>
      <c r="F3325" s="3">
        <v>3</v>
      </c>
      <c r="G3325" s="3">
        <v>0</v>
      </c>
    </row>
    <row r="3326" spans="1:7" x14ac:dyDescent="0.25">
      <c r="A3326" s="3" t="s">
        <v>146</v>
      </c>
      <c r="B3326" s="3" t="s">
        <v>11</v>
      </c>
      <c r="C3326" s="3">
        <v>2</v>
      </c>
      <c r="D3326" s="3">
        <v>2</v>
      </c>
      <c r="E3326" s="3">
        <v>2</v>
      </c>
      <c r="F3326" s="3">
        <v>0</v>
      </c>
      <c r="G3326" s="3">
        <v>0</v>
      </c>
    </row>
    <row r="3327" spans="1:7" x14ac:dyDescent="0.25">
      <c r="A3327" s="3" t="s">
        <v>146</v>
      </c>
      <c r="B3327" s="3" t="s">
        <v>174</v>
      </c>
      <c r="C3327" s="3">
        <v>6</v>
      </c>
      <c r="D3327" s="3">
        <v>6</v>
      </c>
      <c r="E3327" s="3">
        <v>6</v>
      </c>
      <c r="F3327" s="3">
        <v>0</v>
      </c>
      <c r="G3327" s="3">
        <v>0</v>
      </c>
    </row>
    <row r="3328" spans="1:7" x14ac:dyDescent="0.25">
      <c r="A3328" s="3" t="s">
        <v>146</v>
      </c>
      <c r="B3328" s="3" t="s">
        <v>175</v>
      </c>
      <c r="C3328" s="3">
        <v>8</v>
      </c>
      <c r="D3328" s="3">
        <v>8</v>
      </c>
      <c r="E3328" s="3">
        <v>7</v>
      </c>
      <c r="F3328" s="3">
        <v>1</v>
      </c>
      <c r="G3328" s="3">
        <v>0</v>
      </c>
    </row>
    <row r="3329" spans="1:7" x14ac:dyDescent="0.25">
      <c r="A3329" s="3" t="s">
        <v>146</v>
      </c>
      <c r="B3329" s="3" t="s">
        <v>176</v>
      </c>
      <c r="C3329" s="3">
        <v>1</v>
      </c>
      <c r="D3329" s="3">
        <v>1</v>
      </c>
      <c r="E3329" s="3">
        <v>1</v>
      </c>
      <c r="F3329" s="3">
        <v>0</v>
      </c>
      <c r="G3329" s="3">
        <v>0</v>
      </c>
    </row>
    <row r="3330" spans="1:7" x14ac:dyDescent="0.25">
      <c r="A3330" s="3" t="s">
        <v>62</v>
      </c>
      <c r="B3330" s="3" t="s">
        <v>176</v>
      </c>
      <c r="C3330" s="3">
        <v>57</v>
      </c>
      <c r="D3330" s="3">
        <v>53</v>
      </c>
      <c r="E3330" s="3">
        <v>30</v>
      </c>
      <c r="F3330" s="3">
        <v>23</v>
      </c>
      <c r="G3330" s="3">
        <v>0</v>
      </c>
    </row>
    <row r="3331" spans="1:7" x14ac:dyDescent="0.25">
      <c r="A3331" s="3" t="s">
        <v>62</v>
      </c>
      <c r="B3331" s="3" t="s">
        <v>174</v>
      </c>
      <c r="C3331" s="3">
        <v>15</v>
      </c>
      <c r="D3331" s="3">
        <v>15</v>
      </c>
      <c r="E3331" s="3">
        <v>4</v>
      </c>
      <c r="F3331" s="3">
        <v>11</v>
      </c>
      <c r="G3331" s="3">
        <v>0</v>
      </c>
    </row>
    <row r="3332" spans="1:7" x14ac:dyDescent="0.25">
      <c r="A3332" s="3" t="s">
        <v>62</v>
      </c>
      <c r="B3332" s="3" t="s">
        <v>175</v>
      </c>
      <c r="C3332" s="3">
        <v>1</v>
      </c>
      <c r="D3332" s="3">
        <v>1</v>
      </c>
      <c r="E3332" s="3">
        <v>0</v>
      </c>
      <c r="F3332" s="3">
        <v>1</v>
      </c>
      <c r="G3332" s="3">
        <v>0</v>
      </c>
    </row>
    <row r="3333" spans="1:7" x14ac:dyDescent="0.25">
      <c r="A3333" s="3" t="s">
        <v>62</v>
      </c>
      <c r="B3333" s="3" t="s">
        <v>11</v>
      </c>
      <c r="C3333" s="3">
        <v>17</v>
      </c>
      <c r="D3333" s="3">
        <v>17</v>
      </c>
      <c r="E3333" s="3">
        <v>6</v>
      </c>
      <c r="F3333" s="3">
        <v>11</v>
      </c>
      <c r="G3333" s="3">
        <v>0</v>
      </c>
    </row>
    <row r="3334" spans="1:7" x14ac:dyDescent="0.25">
      <c r="A3334" s="3" t="s">
        <v>79</v>
      </c>
      <c r="B3334" s="3" t="s">
        <v>175</v>
      </c>
      <c r="C3334" s="3">
        <v>14</v>
      </c>
      <c r="D3334" s="3">
        <v>14</v>
      </c>
      <c r="E3334" s="3">
        <v>11</v>
      </c>
      <c r="F3334" s="3">
        <v>3</v>
      </c>
      <c r="G3334" s="3">
        <v>0</v>
      </c>
    </row>
    <row r="3335" spans="1:7" x14ac:dyDescent="0.25">
      <c r="A3335" s="3" t="s">
        <v>79</v>
      </c>
      <c r="B3335" s="3" t="s">
        <v>11</v>
      </c>
      <c r="C3335" s="3">
        <v>10</v>
      </c>
      <c r="D3335" s="3">
        <v>10</v>
      </c>
      <c r="E3335" s="3">
        <v>9</v>
      </c>
      <c r="F3335" s="3">
        <v>1</v>
      </c>
      <c r="G3335" s="3">
        <v>0</v>
      </c>
    </row>
    <row r="3336" spans="1:7" x14ac:dyDescent="0.25">
      <c r="A3336" s="3" t="s">
        <v>79</v>
      </c>
      <c r="B3336" s="3" t="s">
        <v>176</v>
      </c>
      <c r="C3336" s="3">
        <v>17</v>
      </c>
      <c r="D3336" s="3">
        <v>16</v>
      </c>
      <c r="E3336" s="3">
        <v>11</v>
      </c>
      <c r="F3336" s="3">
        <v>5</v>
      </c>
      <c r="G3336" s="3">
        <v>1</v>
      </c>
    </row>
    <row r="3337" spans="1:7" x14ac:dyDescent="0.25">
      <c r="A3337" s="3" t="s">
        <v>79</v>
      </c>
      <c r="B3337" s="3" t="s">
        <v>174</v>
      </c>
      <c r="C3337" s="3">
        <v>8</v>
      </c>
      <c r="D3337" s="3">
        <v>8</v>
      </c>
      <c r="E3337" s="3">
        <v>6</v>
      </c>
      <c r="F3337" s="3">
        <v>2</v>
      </c>
      <c r="G3337" s="3">
        <v>0</v>
      </c>
    </row>
    <row r="3338" spans="1:7" x14ac:dyDescent="0.25">
      <c r="A3338" s="3" t="s">
        <v>119</v>
      </c>
      <c r="B3338" s="3" t="s">
        <v>174</v>
      </c>
      <c r="C3338" s="3">
        <v>6</v>
      </c>
      <c r="D3338" s="3">
        <v>6</v>
      </c>
      <c r="E3338" s="3">
        <v>5</v>
      </c>
      <c r="F3338" s="3">
        <v>1</v>
      </c>
      <c r="G3338" s="3">
        <v>0</v>
      </c>
    </row>
    <row r="3339" spans="1:7" x14ac:dyDescent="0.25">
      <c r="A3339" s="3" t="s">
        <v>119</v>
      </c>
      <c r="B3339" s="3" t="s">
        <v>175</v>
      </c>
      <c r="C3339" s="3">
        <v>1</v>
      </c>
      <c r="D3339" s="3">
        <v>0</v>
      </c>
      <c r="E3339" s="3">
        <v>0</v>
      </c>
      <c r="F3339" s="3">
        <v>0</v>
      </c>
      <c r="G3339" s="3">
        <v>1</v>
      </c>
    </row>
    <row r="3340" spans="1:7" x14ac:dyDescent="0.25">
      <c r="A3340" s="3" t="s">
        <v>119</v>
      </c>
      <c r="B3340" s="3" t="s">
        <v>11</v>
      </c>
      <c r="C3340" s="3">
        <v>24</v>
      </c>
      <c r="D3340" s="3">
        <v>23</v>
      </c>
      <c r="E3340" s="3">
        <v>12</v>
      </c>
      <c r="F3340" s="3">
        <v>11</v>
      </c>
      <c r="G3340" s="3">
        <v>0</v>
      </c>
    </row>
    <row r="3341" spans="1:7" x14ac:dyDescent="0.25">
      <c r="A3341" s="3" t="s">
        <v>119</v>
      </c>
      <c r="B3341" s="3" t="s">
        <v>176</v>
      </c>
      <c r="C3341" s="3">
        <v>4</v>
      </c>
      <c r="D3341" s="3">
        <v>4</v>
      </c>
      <c r="E3341" s="3">
        <v>3</v>
      </c>
      <c r="F3341" s="3">
        <v>1</v>
      </c>
      <c r="G3341" s="3">
        <v>0</v>
      </c>
    </row>
    <row r="3342" spans="1:7" x14ac:dyDescent="0.25">
      <c r="A3342" s="3" t="s">
        <v>89</v>
      </c>
      <c r="B3342" s="3" t="s">
        <v>11</v>
      </c>
      <c r="C3342" s="3">
        <v>1</v>
      </c>
      <c r="D3342" s="3">
        <v>1</v>
      </c>
      <c r="E3342" s="3">
        <v>1</v>
      </c>
      <c r="F3342" s="3">
        <v>0</v>
      </c>
      <c r="G3342" s="3">
        <v>0</v>
      </c>
    </row>
    <row r="3343" spans="1:7" x14ac:dyDescent="0.25">
      <c r="A3343" s="3" t="s">
        <v>89</v>
      </c>
      <c r="B3343" s="3" t="s">
        <v>175</v>
      </c>
      <c r="C3343" s="3">
        <v>6</v>
      </c>
      <c r="D3343" s="3">
        <v>5</v>
      </c>
      <c r="E3343" s="3">
        <v>5</v>
      </c>
      <c r="F3343" s="3">
        <v>0</v>
      </c>
      <c r="G3343" s="3">
        <v>1</v>
      </c>
    </row>
    <row r="3344" spans="1:7" x14ac:dyDescent="0.25">
      <c r="A3344" s="3" t="s">
        <v>89</v>
      </c>
      <c r="B3344" s="3" t="s">
        <v>176</v>
      </c>
      <c r="C3344" s="3">
        <v>1</v>
      </c>
      <c r="D3344" s="3">
        <v>1</v>
      </c>
      <c r="E3344" s="3">
        <v>1</v>
      </c>
      <c r="F3344" s="3">
        <v>0</v>
      </c>
      <c r="G3344" s="3">
        <v>0</v>
      </c>
    </row>
    <row r="3345" spans="1:7" x14ac:dyDescent="0.25">
      <c r="A3345" s="3" t="s">
        <v>53</v>
      </c>
      <c r="B3345" s="3" t="s">
        <v>175</v>
      </c>
      <c r="C3345" s="3">
        <v>10</v>
      </c>
      <c r="D3345" s="3">
        <v>10</v>
      </c>
      <c r="E3345" s="3">
        <v>8</v>
      </c>
      <c r="F3345" s="3">
        <v>2</v>
      </c>
      <c r="G3345" s="3">
        <v>0</v>
      </c>
    </row>
    <row r="3346" spans="1:7" x14ac:dyDescent="0.25">
      <c r="A3346" s="3" t="s">
        <v>53</v>
      </c>
      <c r="B3346" s="3" t="s">
        <v>174</v>
      </c>
      <c r="C3346" s="3">
        <v>8</v>
      </c>
      <c r="D3346" s="3">
        <v>8</v>
      </c>
      <c r="E3346" s="3">
        <v>8</v>
      </c>
      <c r="F3346" s="3">
        <v>0</v>
      </c>
      <c r="G3346" s="3">
        <v>0</v>
      </c>
    </row>
    <row r="3347" spans="1:7" x14ac:dyDescent="0.25">
      <c r="A3347" s="3" t="s">
        <v>53</v>
      </c>
      <c r="B3347" s="3" t="s">
        <v>11</v>
      </c>
      <c r="C3347" s="3">
        <v>1</v>
      </c>
      <c r="D3347" s="3">
        <v>1</v>
      </c>
      <c r="E3347" s="3">
        <v>1</v>
      </c>
      <c r="F3347" s="3">
        <v>0</v>
      </c>
      <c r="G3347" s="3">
        <v>0</v>
      </c>
    </row>
    <row r="3348" spans="1:7" x14ac:dyDescent="0.25">
      <c r="A3348" s="3" t="s">
        <v>53</v>
      </c>
      <c r="B3348" s="3" t="s">
        <v>176</v>
      </c>
      <c r="C3348" s="3">
        <v>5</v>
      </c>
      <c r="D3348" s="3">
        <v>5</v>
      </c>
      <c r="E3348" s="3">
        <v>4</v>
      </c>
      <c r="F3348" s="3">
        <v>1</v>
      </c>
      <c r="G3348" s="3">
        <v>0</v>
      </c>
    </row>
    <row r="3349" spans="1:7" x14ac:dyDescent="0.25">
      <c r="A3349" s="3" t="s">
        <v>141</v>
      </c>
      <c r="B3349" s="3" t="s">
        <v>176</v>
      </c>
      <c r="C3349" s="3">
        <v>11</v>
      </c>
      <c r="D3349" s="3">
        <v>11</v>
      </c>
      <c r="E3349" s="3">
        <v>9</v>
      </c>
      <c r="F3349" s="3">
        <v>2</v>
      </c>
      <c r="G3349" s="3">
        <v>0</v>
      </c>
    </row>
    <row r="3350" spans="1:7" x14ac:dyDescent="0.25">
      <c r="A3350" s="3" t="s">
        <v>141</v>
      </c>
      <c r="B3350" s="3" t="s">
        <v>174</v>
      </c>
      <c r="C3350" s="3">
        <v>6</v>
      </c>
      <c r="D3350" s="3">
        <v>6</v>
      </c>
      <c r="E3350" s="3">
        <v>6</v>
      </c>
      <c r="F3350" s="3">
        <v>0</v>
      </c>
      <c r="G3350" s="3">
        <v>0</v>
      </c>
    </row>
    <row r="3351" spans="1:7" x14ac:dyDescent="0.25">
      <c r="A3351" s="3" t="s">
        <v>141</v>
      </c>
      <c r="B3351" s="3" t="s">
        <v>175</v>
      </c>
      <c r="C3351" s="3">
        <v>6</v>
      </c>
      <c r="D3351" s="3">
        <v>6</v>
      </c>
      <c r="E3351" s="3">
        <v>6</v>
      </c>
      <c r="F3351" s="3">
        <v>0</v>
      </c>
      <c r="G3351" s="3">
        <v>0</v>
      </c>
    </row>
    <row r="3352" spans="1:7" x14ac:dyDescent="0.25">
      <c r="A3352" s="3" t="s">
        <v>141</v>
      </c>
      <c r="B3352" s="3" t="s">
        <v>11</v>
      </c>
      <c r="C3352" s="3">
        <v>8</v>
      </c>
      <c r="D3352" s="3">
        <v>8</v>
      </c>
      <c r="E3352" s="3">
        <v>8</v>
      </c>
      <c r="F3352" s="3">
        <v>0</v>
      </c>
      <c r="G3352" s="3">
        <v>0</v>
      </c>
    </row>
    <row r="3353" spans="1:7" x14ac:dyDescent="0.25">
      <c r="A3353" s="3" t="s">
        <v>128</v>
      </c>
      <c r="B3353" s="3" t="s">
        <v>175</v>
      </c>
      <c r="C3353" s="3">
        <v>7</v>
      </c>
      <c r="D3353" s="3">
        <v>6</v>
      </c>
      <c r="E3353" s="3">
        <v>5</v>
      </c>
      <c r="F3353" s="3">
        <v>1</v>
      </c>
      <c r="G3353" s="3">
        <v>1</v>
      </c>
    </row>
    <row r="3354" spans="1:7" x14ac:dyDescent="0.25">
      <c r="A3354" s="3" t="s">
        <v>128</v>
      </c>
      <c r="B3354" s="3" t="s">
        <v>176</v>
      </c>
      <c r="C3354" s="3">
        <v>7</v>
      </c>
      <c r="D3354" s="3">
        <v>6</v>
      </c>
      <c r="E3354" s="3">
        <v>6</v>
      </c>
      <c r="F3354" s="3">
        <v>0</v>
      </c>
      <c r="G3354" s="3">
        <v>0</v>
      </c>
    </row>
    <row r="3355" spans="1:7" x14ac:dyDescent="0.25">
      <c r="A3355" s="3" t="s">
        <v>128</v>
      </c>
      <c r="B3355" s="3" t="s">
        <v>174</v>
      </c>
      <c r="C3355" s="3">
        <v>4</v>
      </c>
      <c r="D3355" s="3">
        <v>4</v>
      </c>
      <c r="E3355" s="3">
        <v>4</v>
      </c>
      <c r="F3355" s="3">
        <v>0</v>
      </c>
      <c r="G3355" s="3">
        <v>0</v>
      </c>
    </row>
    <row r="3356" spans="1:7" x14ac:dyDescent="0.25">
      <c r="A3356" s="3" t="s">
        <v>128</v>
      </c>
      <c r="B3356" s="3" t="s">
        <v>11</v>
      </c>
      <c r="C3356" s="3">
        <v>14</v>
      </c>
      <c r="D3356" s="3">
        <v>13</v>
      </c>
      <c r="E3356" s="3">
        <v>13</v>
      </c>
      <c r="F3356" s="3">
        <v>0</v>
      </c>
      <c r="G3356" s="3">
        <v>1</v>
      </c>
    </row>
    <row r="3357" spans="1:7" x14ac:dyDescent="0.25">
      <c r="A3357" s="3" t="s">
        <v>73</v>
      </c>
      <c r="B3357" s="3" t="s">
        <v>11</v>
      </c>
      <c r="C3357" s="3">
        <v>13</v>
      </c>
      <c r="D3357" s="3">
        <v>13</v>
      </c>
      <c r="E3357" s="3">
        <v>12</v>
      </c>
      <c r="F3357" s="3">
        <v>1</v>
      </c>
      <c r="G3357" s="3">
        <v>0</v>
      </c>
    </row>
    <row r="3358" spans="1:7" x14ac:dyDescent="0.25">
      <c r="A3358" s="3" t="s">
        <v>73</v>
      </c>
      <c r="B3358" s="3" t="s">
        <v>176</v>
      </c>
      <c r="C3358" s="3">
        <v>8</v>
      </c>
      <c r="D3358" s="3">
        <v>8</v>
      </c>
      <c r="E3358" s="3">
        <v>7</v>
      </c>
      <c r="F3358" s="3">
        <v>1</v>
      </c>
      <c r="G3358" s="3">
        <v>0</v>
      </c>
    </row>
    <row r="3359" spans="1:7" x14ac:dyDescent="0.25">
      <c r="A3359" s="3" t="s">
        <v>73</v>
      </c>
      <c r="B3359" s="3" t="s">
        <v>175</v>
      </c>
      <c r="C3359" s="3">
        <v>11</v>
      </c>
      <c r="D3359" s="3">
        <v>9</v>
      </c>
      <c r="E3359" s="3">
        <v>8</v>
      </c>
      <c r="F3359" s="3">
        <v>1</v>
      </c>
      <c r="G3359" s="3">
        <v>0</v>
      </c>
    </row>
    <row r="3360" spans="1:7" x14ac:dyDescent="0.25">
      <c r="A3360" s="3" t="s">
        <v>73</v>
      </c>
      <c r="B3360" s="3" t="s">
        <v>174</v>
      </c>
      <c r="C3360" s="3">
        <v>4</v>
      </c>
      <c r="D3360" s="3">
        <v>4</v>
      </c>
      <c r="E3360" s="3">
        <v>4</v>
      </c>
      <c r="F3360" s="3">
        <v>0</v>
      </c>
      <c r="G3360" s="3">
        <v>0</v>
      </c>
    </row>
    <row r="3361" spans="1:13" x14ac:dyDescent="0.25">
      <c r="A3361" s="3" t="s">
        <v>158</v>
      </c>
      <c r="B3361" s="3" t="s">
        <v>11</v>
      </c>
      <c r="C3361" s="3">
        <v>4</v>
      </c>
      <c r="D3361" s="3">
        <v>4</v>
      </c>
      <c r="E3361" s="3">
        <v>4</v>
      </c>
      <c r="F3361" s="3">
        <v>0</v>
      </c>
      <c r="G3361" s="3">
        <v>0</v>
      </c>
    </row>
    <row r="3362" spans="1:13" x14ac:dyDescent="0.25">
      <c r="A3362" s="3" t="s">
        <v>158</v>
      </c>
      <c r="B3362" s="3" t="s">
        <v>176</v>
      </c>
      <c r="C3362" s="3">
        <v>13</v>
      </c>
      <c r="D3362" s="3">
        <v>13</v>
      </c>
      <c r="E3362" s="3">
        <v>12</v>
      </c>
      <c r="F3362" s="3">
        <v>1</v>
      </c>
      <c r="G3362" s="3">
        <v>0</v>
      </c>
    </row>
    <row r="3363" spans="1:13" x14ac:dyDescent="0.25">
      <c r="A3363" s="3" t="s">
        <v>158</v>
      </c>
      <c r="B3363" s="3" t="s">
        <v>174</v>
      </c>
      <c r="C3363" s="3">
        <v>13</v>
      </c>
      <c r="D3363" s="3">
        <v>13</v>
      </c>
      <c r="E3363" s="3">
        <v>12</v>
      </c>
      <c r="F3363" s="3">
        <v>1</v>
      </c>
      <c r="G3363" s="3">
        <v>0</v>
      </c>
      <c r="I3363">
        <f>+SUM(C3253:C3363)</f>
        <v>1445</v>
      </c>
      <c r="J3363">
        <f t="shared" ref="J3363:M3363" si="3">+SUM(D3253:D3363)</f>
        <v>1392</v>
      </c>
      <c r="K3363">
        <f t="shared" si="3"/>
        <v>1031</v>
      </c>
      <c r="L3363">
        <f t="shared" si="3"/>
        <v>361</v>
      </c>
      <c r="M3363">
        <f t="shared" si="3"/>
        <v>10</v>
      </c>
    </row>
    <row r="3364" spans="1:13" x14ac:dyDescent="0.25">
      <c r="A3364" s="3" t="s">
        <v>158</v>
      </c>
      <c r="B3364" s="3" t="s">
        <v>175</v>
      </c>
      <c r="C3364" s="3">
        <v>32</v>
      </c>
      <c r="D3364" s="3">
        <v>31</v>
      </c>
      <c r="E3364" s="3">
        <v>25</v>
      </c>
      <c r="F3364" s="3">
        <v>6</v>
      </c>
      <c r="G3364" s="3">
        <v>0</v>
      </c>
    </row>
    <row r="3365" spans="1:13" x14ac:dyDescent="0.25">
      <c r="A3365" s="3" t="s">
        <v>67</v>
      </c>
      <c r="B3365" s="3" t="s">
        <v>176</v>
      </c>
      <c r="C3365" s="3">
        <v>8</v>
      </c>
      <c r="D3365" s="3">
        <v>8</v>
      </c>
      <c r="E3365" s="3">
        <v>6</v>
      </c>
      <c r="F3365" s="3">
        <v>2</v>
      </c>
      <c r="G3365" s="3">
        <v>0</v>
      </c>
    </row>
    <row r="3366" spans="1:13" x14ac:dyDescent="0.25">
      <c r="A3366" s="3" t="s">
        <v>67</v>
      </c>
      <c r="B3366" s="3" t="s">
        <v>174</v>
      </c>
      <c r="C3366" s="3">
        <v>9</v>
      </c>
      <c r="D3366" s="3">
        <v>8</v>
      </c>
      <c r="E3366" s="3">
        <v>5</v>
      </c>
      <c r="F3366" s="3">
        <v>3</v>
      </c>
      <c r="G3366" s="3">
        <v>0</v>
      </c>
    </row>
    <row r="3367" spans="1:13" x14ac:dyDescent="0.25">
      <c r="A3367" s="3" t="s">
        <v>67</v>
      </c>
      <c r="B3367" s="3" t="s">
        <v>11</v>
      </c>
      <c r="C3367" s="3">
        <v>4</v>
      </c>
      <c r="D3367" s="3">
        <v>4</v>
      </c>
      <c r="E3367" s="3">
        <v>2</v>
      </c>
      <c r="F3367" s="3">
        <v>2</v>
      </c>
      <c r="G3367" s="3">
        <v>0</v>
      </c>
    </row>
    <row r="3368" spans="1:13" x14ac:dyDescent="0.25">
      <c r="A3368" s="3" t="s">
        <v>67</v>
      </c>
      <c r="B3368" s="3" t="s">
        <v>175</v>
      </c>
      <c r="C3368" s="3">
        <v>18</v>
      </c>
      <c r="D3368" s="3">
        <v>16</v>
      </c>
      <c r="E3368" s="3">
        <v>10</v>
      </c>
      <c r="F3368" s="3">
        <v>6</v>
      </c>
      <c r="G3368" s="3">
        <v>0</v>
      </c>
    </row>
    <row r="3369" spans="1:13" x14ac:dyDescent="0.25">
      <c r="A3369" s="3" t="s">
        <v>183</v>
      </c>
      <c r="B3369" s="3" t="s">
        <v>174</v>
      </c>
      <c r="C3369" s="3">
        <v>8</v>
      </c>
      <c r="D3369" s="3">
        <v>8</v>
      </c>
      <c r="E3369" s="3">
        <v>7</v>
      </c>
      <c r="F3369" s="3">
        <v>1</v>
      </c>
      <c r="G3369" s="3">
        <v>0</v>
      </c>
    </row>
    <row r="3370" spans="1:13" x14ac:dyDescent="0.25">
      <c r="A3370" s="3" t="s">
        <v>183</v>
      </c>
      <c r="B3370" s="3" t="s">
        <v>175</v>
      </c>
      <c r="C3370" s="3">
        <v>4</v>
      </c>
      <c r="D3370" s="3">
        <v>4</v>
      </c>
      <c r="E3370" s="3">
        <v>3</v>
      </c>
      <c r="F3370" s="3">
        <v>1</v>
      </c>
      <c r="G3370" s="3">
        <v>0</v>
      </c>
    </row>
    <row r="3371" spans="1:13" x14ac:dyDescent="0.25">
      <c r="A3371" s="3" t="s">
        <v>183</v>
      </c>
      <c r="B3371" s="3" t="s">
        <v>176</v>
      </c>
      <c r="C3371" s="3">
        <v>4</v>
      </c>
      <c r="D3371" s="3">
        <v>4</v>
      </c>
      <c r="E3371" s="3">
        <v>4</v>
      </c>
      <c r="F3371" s="3">
        <v>0</v>
      </c>
      <c r="G3371" s="3">
        <v>0</v>
      </c>
    </row>
    <row r="3372" spans="1:13" x14ac:dyDescent="0.25">
      <c r="A3372" s="3" t="s">
        <v>90</v>
      </c>
      <c r="B3372" s="3" t="s">
        <v>175</v>
      </c>
      <c r="C3372" s="3">
        <v>10</v>
      </c>
      <c r="D3372" s="3">
        <v>9</v>
      </c>
      <c r="E3372" s="3">
        <v>8</v>
      </c>
      <c r="F3372" s="3">
        <v>1</v>
      </c>
      <c r="G3372" s="3">
        <v>1</v>
      </c>
    </row>
    <row r="3373" spans="1:13" x14ac:dyDescent="0.25">
      <c r="A3373" s="3" t="s">
        <v>90</v>
      </c>
      <c r="B3373" s="3" t="s">
        <v>176</v>
      </c>
      <c r="C3373" s="3">
        <v>7</v>
      </c>
      <c r="D3373" s="3">
        <v>7</v>
      </c>
      <c r="E3373" s="3">
        <v>7</v>
      </c>
      <c r="F3373" s="3">
        <v>0</v>
      </c>
      <c r="G3373" s="3">
        <v>0</v>
      </c>
    </row>
    <row r="3374" spans="1:13" x14ac:dyDescent="0.25">
      <c r="A3374" s="3" t="s">
        <v>90</v>
      </c>
      <c r="B3374" s="3" t="s">
        <v>11</v>
      </c>
      <c r="C3374" s="3">
        <v>1</v>
      </c>
      <c r="D3374" s="3">
        <v>1</v>
      </c>
      <c r="E3374" s="3">
        <v>1</v>
      </c>
      <c r="F3374" s="3">
        <v>0</v>
      </c>
      <c r="G3374" s="3">
        <v>0</v>
      </c>
    </row>
    <row r="3375" spans="1:13" x14ac:dyDescent="0.25">
      <c r="A3375" s="3" t="s">
        <v>90</v>
      </c>
      <c r="B3375" s="3" t="s">
        <v>174</v>
      </c>
      <c r="C3375" s="3">
        <v>4</v>
      </c>
      <c r="D3375" s="3">
        <v>4</v>
      </c>
      <c r="E3375" s="3">
        <v>4</v>
      </c>
      <c r="F3375" s="3">
        <v>0</v>
      </c>
      <c r="G3375" s="3">
        <v>0</v>
      </c>
    </row>
    <row r="3376" spans="1:13" x14ac:dyDescent="0.25">
      <c r="A3376" s="3" t="s">
        <v>54</v>
      </c>
      <c r="B3376" s="3" t="s">
        <v>176</v>
      </c>
      <c r="C3376" s="3">
        <v>16</v>
      </c>
      <c r="D3376" s="3">
        <v>16</v>
      </c>
      <c r="E3376" s="3">
        <v>15</v>
      </c>
      <c r="F3376" s="3">
        <v>1</v>
      </c>
      <c r="G3376" s="3">
        <v>0</v>
      </c>
    </row>
    <row r="3377" spans="1:7" x14ac:dyDescent="0.25">
      <c r="A3377" s="3" t="s">
        <v>54</v>
      </c>
      <c r="B3377" s="3" t="s">
        <v>175</v>
      </c>
      <c r="C3377" s="3">
        <v>3</v>
      </c>
      <c r="D3377" s="3">
        <v>3</v>
      </c>
      <c r="E3377" s="3">
        <v>3</v>
      </c>
      <c r="F3377" s="3">
        <v>0</v>
      </c>
      <c r="G3377" s="3">
        <v>0</v>
      </c>
    </row>
    <row r="3378" spans="1:7" x14ac:dyDescent="0.25">
      <c r="A3378" s="3" t="s">
        <v>54</v>
      </c>
      <c r="B3378" s="3" t="s">
        <v>11</v>
      </c>
      <c r="C3378" s="3">
        <v>2</v>
      </c>
      <c r="D3378" s="3">
        <v>2</v>
      </c>
      <c r="E3378" s="3">
        <v>1</v>
      </c>
      <c r="F3378" s="3">
        <v>1</v>
      </c>
      <c r="G3378" s="3">
        <v>0</v>
      </c>
    </row>
    <row r="3379" spans="1:7" x14ac:dyDescent="0.25">
      <c r="A3379" s="3" t="s">
        <v>54</v>
      </c>
      <c r="B3379" s="3" t="s">
        <v>174</v>
      </c>
      <c r="C3379" s="3">
        <v>1</v>
      </c>
      <c r="D3379" s="3">
        <v>1</v>
      </c>
      <c r="E3379" s="3">
        <v>0</v>
      </c>
      <c r="F3379" s="3">
        <v>1</v>
      </c>
      <c r="G3379" s="3">
        <v>0</v>
      </c>
    </row>
    <row r="3380" spans="1:7" x14ac:dyDescent="0.25">
      <c r="A3380" s="3" t="s">
        <v>63</v>
      </c>
      <c r="B3380" s="3" t="s">
        <v>174</v>
      </c>
      <c r="C3380" s="3">
        <v>5</v>
      </c>
      <c r="D3380" s="3">
        <v>2</v>
      </c>
      <c r="E3380" s="3">
        <v>2</v>
      </c>
      <c r="F3380" s="3">
        <v>0</v>
      </c>
      <c r="G3380" s="3">
        <v>3</v>
      </c>
    </row>
    <row r="3381" spans="1:7" x14ac:dyDescent="0.25">
      <c r="A3381" s="3" t="s">
        <v>63</v>
      </c>
      <c r="B3381" s="3" t="s">
        <v>11</v>
      </c>
      <c r="C3381" s="3">
        <v>6</v>
      </c>
      <c r="D3381" s="3">
        <v>6</v>
      </c>
      <c r="E3381" s="3">
        <v>6</v>
      </c>
      <c r="F3381" s="3">
        <v>0</v>
      </c>
      <c r="G3381" s="3">
        <v>0</v>
      </c>
    </row>
    <row r="3382" spans="1:7" x14ac:dyDescent="0.25">
      <c r="A3382" s="3" t="s">
        <v>63</v>
      </c>
      <c r="B3382" s="3" t="s">
        <v>175</v>
      </c>
      <c r="C3382" s="3">
        <v>8</v>
      </c>
      <c r="D3382" s="3">
        <v>8</v>
      </c>
      <c r="E3382" s="3">
        <v>8</v>
      </c>
      <c r="F3382" s="3">
        <v>0</v>
      </c>
      <c r="G3382" s="3">
        <v>0</v>
      </c>
    </row>
    <row r="3383" spans="1:7" x14ac:dyDescent="0.25">
      <c r="A3383" s="3" t="s">
        <v>63</v>
      </c>
      <c r="B3383" s="3" t="s">
        <v>176</v>
      </c>
      <c r="C3383" s="3">
        <v>1</v>
      </c>
      <c r="D3383" s="3">
        <v>1</v>
      </c>
      <c r="E3383" s="3">
        <v>1</v>
      </c>
      <c r="F3383" s="3">
        <v>0</v>
      </c>
      <c r="G3383" s="3">
        <v>0</v>
      </c>
    </row>
    <row r="3384" spans="1:7" x14ac:dyDescent="0.25">
      <c r="A3384" s="3" t="s">
        <v>108</v>
      </c>
      <c r="B3384" s="3" t="s">
        <v>174</v>
      </c>
      <c r="C3384" s="3">
        <v>4</v>
      </c>
      <c r="D3384" s="3">
        <v>3</v>
      </c>
      <c r="E3384" s="3">
        <v>3</v>
      </c>
      <c r="F3384" s="3">
        <v>0</v>
      </c>
      <c r="G3384" s="3">
        <v>0</v>
      </c>
    </row>
    <row r="3385" spans="1:7" x14ac:dyDescent="0.25">
      <c r="A3385" s="3" t="s">
        <v>108</v>
      </c>
      <c r="B3385" s="3" t="s">
        <v>11</v>
      </c>
      <c r="C3385" s="3">
        <v>6</v>
      </c>
      <c r="D3385" s="3">
        <v>5</v>
      </c>
      <c r="E3385" s="3">
        <v>5</v>
      </c>
      <c r="F3385" s="3">
        <v>0</v>
      </c>
      <c r="G3385" s="3">
        <v>0</v>
      </c>
    </row>
    <row r="3386" spans="1:7" x14ac:dyDescent="0.25">
      <c r="A3386" s="3" t="s">
        <v>108</v>
      </c>
      <c r="B3386" s="3" t="s">
        <v>175</v>
      </c>
      <c r="C3386" s="3">
        <v>13</v>
      </c>
      <c r="D3386" s="3">
        <v>13</v>
      </c>
      <c r="E3386" s="3">
        <v>12</v>
      </c>
      <c r="F3386" s="3">
        <v>1</v>
      </c>
      <c r="G3386" s="3">
        <v>0</v>
      </c>
    </row>
    <row r="3387" spans="1:7" x14ac:dyDescent="0.25">
      <c r="A3387" s="3" t="s">
        <v>108</v>
      </c>
      <c r="B3387" s="3" t="s">
        <v>176</v>
      </c>
      <c r="C3387" s="3">
        <v>7</v>
      </c>
      <c r="D3387" s="3">
        <v>7</v>
      </c>
      <c r="E3387" s="3">
        <v>7</v>
      </c>
      <c r="F3387" s="3">
        <v>0</v>
      </c>
      <c r="G3387" s="3">
        <v>0</v>
      </c>
    </row>
    <row r="3388" spans="1:7" x14ac:dyDescent="0.25">
      <c r="A3388" s="3" t="s">
        <v>91</v>
      </c>
      <c r="B3388" s="3" t="s">
        <v>175</v>
      </c>
      <c r="C3388" s="3">
        <v>9</v>
      </c>
      <c r="D3388" s="3">
        <v>9</v>
      </c>
      <c r="E3388" s="3">
        <v>8</v>
      </c>
      <c r="F3388" s="3">
        <v>1</v>
      </c>
      <c r="G3388" s="3">
        <v>0</v>
      </c>
    </row>
    <row r="3389" spans="1:7" x14ac:dyDescent="0.25">
      <c r="A3389" s="3" t="s">
        <v>91</v>
      </c>
      <c r="B3389" s="3" t="s">
        <v>11</v>
      </c>
      <c r="C3389" s="3">
        <v>2</v>
      </c>
      <c r="D3389" s="3">
        <v>2</v>
      </c>
      <c r="E3389" s="3">
        <v>2</v>
      </c>
      <c r="F3389" s="3">
        <v>0</v>
      </c>
      <c r="G3389" s="3">
        <v>0</v>
      </c>
    </row>
    <row r="3390" spans="1:7" x14ac:dyDescent="0.25">
      <c r="A3390" s="3" t="s">
        <v>91</v>
      </c>
      <c r="B3390" s="3" t="s">
        <v>176</v>
      </c>
      <c r="C3390" s="3">
        <v>2</v>
      </c>
      <c r="D3390" s="3">
        <v>2</v>
      </c>
      <c r="E3390" s="3">
        <v>1</v>
      </c>
      <c r="F3390" s="3">
        <v>1</v>
      </c>
      <c r="G3390" s="3">
        <v>0</v>
      </c>
    </row>
    <row r="3391" spans="1:7" x14ac:dyDescent="0.25">
      <c r="A3391" s="3" t="s">
        <v>91</v>
      </c>
      <c r="B3391" s="3" t="s">
        <v>174</v>
      </c>
      <c r="C3391" s="3">
        <v>2</v>
      </c>
      <c r="D3391" s="3">
        <v>2</v>
      </c>
      <c r="E3391" s="3">
        <v>2</v>
      </c>
      <c r="F3391" s="3">
        <v>0</v>
      </c>
      <c r="G3391" s="3">
        <v>1</v>
      </c>
    </row>
    <row r="3392" spans="1:7" x14ac:dyDescent="0.25">
      <c r="A3392" s="3" t="s">
        <v>110</v>
      </c>
      <c r="B3392" s="3" t="s">
        <v>11</v>
      </c>
      <c r="C3392" s="3">
        <v>3</v>
      </c>
      <c r="D3392" s="3">
        <v>3</v>
      </c>
      <c r="E3392" s="3">
        <v>2</v>
      </c>
      <c r="F3392" s="3">
        <v>1</v>
      </c>
      <c r="G3392" s="3">
        <v>0</v>
      </c>
    </row>
    <row r="3393" spans="1:7" x14ac:dyDescent="0.25">
      <c r="A3393" s="3" t="s">
        <v>110</v>
      </c>
      <c r="B3393" s="3" t="s">
        <v>176</v>
      </c>
      <c r="C3393" s="3">
        <v>2</v>
      </c>
      <c r="D3393" s="3">
        <v>2</v>
      </c>
      <c r="E3393" s="3">
        <v>2</v>
      </c>
      <c r="F3393" s="3">
        <v>0</v>
      </c>
      <c r="G3393" s="3">
        <v>0</v>
      </c>
    </row>
    <row r="3394" spans="1:7" x14ac:dyDescent="0.25">
      <c r="A3394" s="3" t="s">
        <v>110</v>
      </c>
      <c r="B3394" s="3" t="s">
        <v>174</v>
      </c>
      <c r="C3394" s="3">
        <v>3</v>
      </c>
      <c r="D3394" s="3">
        <v>3</v>
      </c>
      <c r="E3394" s="3">
        <v>3</v>
      </c>
      <c r="F3394" s="3">
        <v>0</v>
      </c>
      <c r="G3394" s="3">
        <v>0</v>
      </c>
    </row>
    <row r="3395" spans="1:7" x14ac:dyDescent="0.25">
      <c r="A3395" s="3" t="s">
        <v>110</v>
      </c>
      <c r="B3395" s="3" t="s">
        <v>175</v>
      </c>
      <c r="C3395" s="3">
        <v>16</v>
      </c>
      <c r="D3395" s="3">
        <v>15</v>
      </c>
      <c r="E3395" s="3">
        <v>10</v>
      </c>
      <c r="F3395" s="3">
        <v>5</v>
      </c>
      <c r="G3395" s="3">
        <v>1</v>
      </c>
    </row>
    <row r="3396" spans="1:7" x14ac:dyDescent="0.25">
      <c r="A3396" s="3" t="s">
        <v>99</v>
      </c>
      <c r="B3396" s="3" t="s">
        <v>176</v>
      </c>
      <c r="C3396" s="3">
        <v>3</v>
      </c>
      <c r="D3396" s="3">
        <v>2</v>
      </c>
      <c r="E3396" s="3">
        <v>2</v>
      </c>
      <c r="F3396" s="3">
        <v>0</v>
      </c>
      <c r="G3396" s="3">
        <v>0</v>
      </c>
    </row>
    <row r="3397" spans="1:7" x14ac:dyDescent="0.25">
      <c r="A3397" s="3" t="s">
        <v>99</v>
      </c>
      <c r="B3397" s="3" t="s">
        <v>175</v>
      </c>
      <c r="C3397" s="3">
        <v>8</v>
      </c>
      <c r="D3397" s="3">
        <v>4</v>
      </c>
      <c r="E3397" s="3">
        <v>3</v>
      </c>
      <c r="F3397" s="3">
        <v>1</v>
      </c>
      <c r="G3397" s="3">
        <v>0</v>
      </c>
    </row>
    <row r="3398" spans="1:7" x14ac:dyDescent="0.25">
      <c r="A3398" s="3" t="s">
        <v>99</v>
      </c>
      <c r="B3398" s="3" t="s">
        <v>174</v>
      </c>
      <c r="C3398" s="3">
        <v>3</v>
      </c>
      <c r="D3398" s="3">
        <v>3</v>
      </c>
      <c r="E3398" s="3">
        <v>3</v>
      </c>
      <c r="F3398" s="3">
        <v>0</v>
      </c>
      <c r="G3398" s="3">
        <v>0</v>
      </c>
    </row>
    <row r="3399" spans="1:7" x14ac:dyDescent="0.25">
      <c r="A3399" s="3" t="s">
        <v>50</v>
      </c>
      <c r="B3399" s="3" t="s">
        <v>174</v>
      </c>
      <c r="C3399" s="3">
        <v>5</v>
      </c>
      <c r="D3399" s="3">
        <v>4</v>
      </c>
      <c r="E3399" s="3">
        <v>3</v>
      </c>
      <c r="F3399" s="3">
        <v>1</v>
      </c>
      <c r="G3399" s="3">
        <v>0</v>
      </c>
    </row>
    <row r="3400" spans="1:7" x14ac:dyDescent="0.25">
      <c r="A3400" s="3" t="s">
        <v>50</v>
      </c>
      <c r="B3400" s="3" t="s">
        <v>11</v>
      </c>
      <c r="C3400" s="3">
        <v>1</v>
      </c>
      <c r="D3400" s="3">
        <v>1</v>
      </c>
      <c r="E3400" s="3">
        <v>1</v>
      </c>
      <c r="F3400" s="3">
        <v>0</v>
      </c>
      <c r="G3400" s="3">
        <v>0</v>
      </c>
    </row>
    <row r="3401" spans="1:7" x14ac:dyDescent="0.25">
      <c r="A3401" s="3" t="s">
        <v>50</v>
      </c>
      <c r="B3401" s="3" t="s">
        <v>175</v>
      </c>
      <c r="C3401" s="3">
        <v>9</v>
      </c>
      <c r="D3401" s="3">
        <v>8</v>
      </c>
      <c r="E3401" s="3">
        <v>7</v>
      </c>
      <c r="F3401" s="3">
        <v>1</v>
      </c>
      <c r="G3401" s="3">
        <v>0</v>
      </c>
    </row>
    <row r="3402" spans="1:7" x14ac:dyDescent="0.25">
      <c r="A3402" s="3" t="s">
        <v>50</v>
      </c>
      <c r="B3402" s="3" t="s">
        <v>176</v>
      </c>
      <c r="C3402" s="3">
        <v>2</v>
      </c>
      <c r="D3402" s="3">
        <v>2</v>
      </c>
      <c r="E3402" s="3">
        <v>2</v>
      </c>
      <c r="F3402" s="3">
        <v>0</v>
      </c>
      <c r="G3402" s="3">
        <v>0</v>
      </c>
    </row>
    <row r="3403" spans="1:7" x14ac:dyDescent="0.25">
      <c r="A3403" s="3" t="s">
        <v>64</v>
      </c>
      <c r="B3403" s="3" t="s">
        <v>176</v>
      </c>
      <c r="C3403" s="3">
        <v>6</v>
      </c>
      <c r="D3403" s="3">
        <v>6</v>
      </c>
      <c r="E3403" s="3">
        <v>6</v>
      </c>
      <c r="F3403" s="3">
        <v>0</v>
      </c>
      <c r="G3403" s="3">
        <v>0</v>
      </c>
    </row>
    <row r="3404" spans="1:7" x14ac:dyDescent="0.25">
      <c r="A3404" s="3" t="s">
        <v>64</v>
      </c>
      <c r="B3404" s="3" t="s">
        <v>174</v>
      </c>
      <c r="C3404" s="3">
        <v>4</v>
      </c>
      <c r="D3404" s="3">
        <v>4</v>
      </c>
      <c r="E3404" s="3">
        <v>4</v>
      </c>
      <c r="F3404" s="3">
        <v>0</v>
      </c>
      <c r="G3404" s="3">
        <v>0</v>
      </c>
    </row>
    <row r="3405" spans="1:7" x14ac:dyDescent="0.25">
      <c r="A3405" s="3" t="s">
        <v>64</v>
      </c>
      <c r="B3405" s="3" t="s">
        <v>175</v>
      </c>
      <c r="C3405" s="3">
        <v>13</v>
      </c>
      <c r="D3405" s="3">
        <v>13</v>
      </c>
      <c r="E3405" s="3">
        <v>9</v>
      </c>
      <c r="F3405" s="3">
        <v>4</v>
      </c>
      <c r="G3405" s="3">
        <v>0</v>
      </c>
    </row>
    <row r="3406" spans="1:7" x14ac:dyDescent="0.25">
      <c r="A3406" s="3" t="s">
        <v>64</v>
      </c>
      <c r="B3406" s="3" t="s">
        <v>11</v>
      </c>
      <c r="C3406" s="3">
        <v>2</v>
      </c>
      <c r="D3406" s="3">
        <v>2</v>
      </c>
      <c r="E3406" s="3">
        <v>2</v>
      </c>
      <c r="F3406" s="3">
        <v>0</v>
      </c>
      <c r="G3406" s="3">
        <v>0</v>
      </c>
    </row>
    <row r="3407" spans="1:7" x14ac:dyDescent="0.25">
      <c r="A3407" s="3" t="s">
        <v>85</v>
      </c>
      <c r="B3407" s="3" t="s">
        <v>11</v>
      </c>
      <c r="C3407" s="3">
        <v>1</v>
      </c>
      <c r="D3407" s="3">
        <v>1</v>
      </c>
      <c r="E3407" s="3">
        <v>1</v>
      </c>
      <c r="F3407" s="3">
        <v>0</v>
      </c>
      <c r="G3407" s="3">
        <v>0</v>
      </c>
    </row>
    <row r="3408" spans="1:7" x14ac:dyDescent="0.25">
      <c r="A3408" s="3" t="s">
        <v>85</v>
      </c>
      <c r="B3408" s="3" t="s">
        <v>174</v>
      </c>
      <c r="C3408" s="3">
        <v>2</v>
      </c>
      <c r="D3408" s="3">
        <v>2</v>
      </c>
      <c r="E3408" s="3">
        <v>2</v>
      </c>
      <c r="F3408" s="3">
        <v>0</v>
      </c>
      <c r="G3408" s="3">
        <v>0</v>
      </c>
    </row>
    <row r="3409" spans="1:7" x14ac:dyDescent="0.25">
      <c r="A3409" s="3" t="s">
        <v>85</v>
      </c>
      <c r="B3409" s="3" t="s">
        <v>176</v>
      </c>
      <c r="C3409" s="3">
        <v>2</v>
      </c>
      <c r="D3409" s="3">
        <v>2</v>
      </c>
      <c r="E3409" s="3">
        <v>2</v>
      </c>
      <c r="F3409" s="3">
        <v>0</v>
      </c>
      <c r="G3409" s="3">
        <v>0</v>
      </c>
    </row>
    <row r="3410" spans="1:7" x14ac:dyDescent="0.25">
      <c r="A3410" s="3" t="s">
        <v>85</v>
      </c>
      <c r="B3410" s="3" t="s">
        <v>175</v>
      </c>
      <c r="C3410" s="3">
        <v>4</v>
      </c>
      <c r="D3410" s="3">
        <v>4</v>
      </c>
      <c r="E3410" s="3">
        <v>4</v>
      </c>
      <c r="F3410" s="3">
        <v>0</v>
      </c>
      <c r="G3410" s="3">
        <v>0</v>
      </c>
    </row>
    <row r="3411" spans="1:7" x14ac:dyDescent="0.25">
      <c r="A3411" s="3" t="s">
        <v>65</v>
      </c>
      <c r="B3411" s="3" t="s">
        <v>11</v>
      </c>
      <c r="C3411" s="3">
        <v>1</v>
      </c>
      <c r="D3411" s="3">
        <v>1</v>
      </c>
      <c r="E3411" s="3">
        <v>1</v>
      </c>
      <c r="F3411" s="3">
        <v>0</v>
      </c>
      <c r="G3411" s="3">
        <v>0</v>
      </c>
    </row>
    <row r="3412" spans="1:7" x14ac:dyDescent="0.25">
      <c r="A3412" s="3" t="s">
        <v>65</v>
      </c>
      <c r="B3412" s="3" t="s">
        <v>176</v>
      </c>
      <c r="C3412" s="3">
        <v>3</v>
      </c>
      <c r="D3412" s="3">
        <v>3</v>
      </c>
      <c r="E3412" s="3">
        <v>3</v>
      </c>
      <c r="F3412" s="3">
        <v>0</v>
      </c>
      <c r="G3412" s="3">
        <v>0</v>
      </c>
    </row>
    <row r="3413" spans="1:7" x14ac:dyDescent="0.25">
      <c r="A3413" s="3" t="s">
        <v>65</v>
      </c>
      <c r="B3413" s="3" t="s">
        <v>174</v>
      </c>
      <c r="C3413" s="3">
        <v>1</v>
      </c>
      <c r="D3413" s="3">
        <v>1</v>
      </c>
      <c r="E3413" s="3">
        <v>1</v>
      </c>
      <c r="F3413" s="3">
        <v>0</v>
      </c>
      <c r="G3413" s="3">
        <v>0</v>
      </c>
    </row>
    <row r="3414" spans="1:7" x14ac:dyDescent="0.25">
      <c r="A3414" s="3" t="s">
        <v>65</v>
      </c>
      <c r="B3414" s="3" t="s">
        <v>175</v>
      </c>
      <c r="C3414" s="3">
        <v>4</v>
      </c>
      <c r="D3414" s="3">
        <v>3</v>
      </c>
      <c r="E3414" s="3">
        <v>2</v>
      </c>
      <c r="F3414" s="3">
        <v>1</v>
      </c>
      <c r="G3414" s="3">
        <v>0</v>
      </c>
    </row>
    <row r="3415" spans="1:7" x14ac:dyDescent="0.25">
      <c r="A3415" s="3" t="s">
        <v>39</v>
      </c>
      <c r="B3415" s="3" t="s">
        <v>175</v>
      </c>
      <c r="C3415" s="3">
        <v>8</v>
      </c>
      <c r="D3415" s="3">
        <v>8</v>
      </c>
      <c r="E3415" s="3">
        <v>7</v>
      </c>
      <c r="F3415" s="3">
        <v>1</v>
      </c>
      <c r="G3415" s="3">
        <v>1</v>
      </c>
    </row>
    <row r="3416" spans="1:7" x14ac:dyDescent="0.25">
      <c r="A3416" s="3" t="s">
        <v>39</v>
      </c>
      <c r="B3416" s="3" t="s">
        <v>11</v>
      </c>
      <c r="C3416" s="3">
        <v>1</v>
      </c>
      <c r="D3416" s="3">
        <v>1</v>
      </c>
      <c r="E3416" s="3">
        <v>1</v>
      </c>
      <c r="F3416" s="3">
        <v>0</v>
      </c>
      <c r="G3416" s="3">
        <v>0</v>
      </c>
    </row>
    <row r="3417" spans="1:7" x14ac:dyDescent="0.25">
      <c r="A3417" s="3" t="s">
        <v>39</v>
      </c>
      <c r="B3417" s="3" t="s">
        <v>174</v>
      </c>
      <c r="C3417" s="3">
        <v>6</v>
      </c>
      <c r="D3417" s="3">
        <v>6</v>
      </c>
      <c r="E3417" s="3">
        <v>6</v>
      </c>
      <c r="F3417" s="3">
        <v>0</v>
      </c>
      <c r="G3417" s="3">
        <v>0</v>
      </c>
    </row>
    <row r="3418" spans="1:7" x14ac:dyDescent="0.25">
      <c r="A3418" s="3" t="s">
        <v>39</v>
      </c>
      <c r="B3418" s="3" t="s">
        <v>176</v>
      </c>
      <c r="C3418" s="3">
        <v>4</v>
      </c>
      <c r="D3418" s="3">
        <v>4</v>
      </c>
      <c r="E3418" s="3">
        <v>4</v>
      </c>
      <c r="F3418" s="3">
        <v>0</v>
      </c>
      <c r="G3418" s="3">
        <v>0</v>
      </c>
    </row>
    <row r="3419" spans="1:7" x14ac:dyDescent="0.25">
      <c r="A3419" s="3" t="s">
        <v>167</v>
      </c>
      <c r="B3419" s="3" t="s">
        <v>176</v>
      </c>
      <c r="C3419" s="3">
        <v>4</v>
      </c>
      <c r="D3419" s="3">
        <v>4</v>
      </c>
      <c r="E3419" s="3">
        <v>4</v>
      </c>
      <c r="F3419" s="3">
        <v>0</v>
      </c>
      <c r="G3419" s="3">
        <v>0</v>
      </c>
    </row>
    <row r="3420" spans="1:7" x14ac:dyDescent="0.25">
      <c r="A3420" s="3" t="s">
        <v>167</v>
      </c>
      <c r="B3420" s="3" t="s">
        <v>175</v>
      </c>
      <c r="C3420" s="3">
        <v>1</v>
      </c>
      <c r="D3420" s="3">
        <v>1</v>
      </c>
      <c r="E3420" s="3">
        <v>0</v>
      </c>
      <c r="F3420" s="3">
        <v>1</v>
      </c>
      <c r="G3420" s="3">
        <v>0</v>
      </c>
    </row>
    <row r="3421" spans="1:7" x14ac:dyDescent="0.25">
      <c r="A3421" s="3" t="s">
        <v>178</v>
      </c>
      <c r="B3421" s="3" t="s">
        <v>176</v>
      </c>
      <c r="C3421" s="3">
        <v>5</v>
      </c>
      <c r="D3421" s="3">
        <v>5</v>
      </c>
      <c r="E3421" s="3">
        <v>5</v>
      </c>
      <c r="F3421" s="3">
        <v>0</v>
      </c>
      <c r="G3421" s="3">
        <v>0</v>
      </c>
    </row>
    <row r="3422" spans="1:7" x14ac:dyDescent="0.25">
      <c r="A3422" s="3" t="s">
        <v>178</v>
      </c>
      <c r="B3422" s="3" t="s">
        <v>174</v>
      </c>
      <c r="C3422" s="3">
        <v>4</v>
      </c>
      <c r="D3422" s="3">
        <v>4</v>
      </c>
      <c r="E3422" s="3">
        <v>2</v>
      </c>
      <c r="F3422" s="3">
        <v>2</v>
      </c>
      <c r="G3422" s="3">
        <v>0</v>
      </c>
    </row>
    <row r="3423" spans="1:7" x14ac:dyDescent="0.25">
      <c r="A3423" s="3" t="s">
        <v>178</v>
      </c>
      <c r="B3423" s="3" t="s">
        <v>175</v>
      </c>
      <c r="C3423" s="3">
        <v>1</v>
      </c>
      <c r="D3423" s="3">
        <v>1</v>
      </c>
      <c r="E3423" s="3">
        <v>0</v>
      </c>
      <c r="F3423" s="3">
        <v>1</v>
      </c>
      <c r="G3423" s="3">
        <v>0</v>
      </c>
    </row>
    <row r="3424" spans="1:7" x14ac:dyDescent="0.25">
      <c r="A3424" s="3" t="s">
        <v>107</v>
      </c>
      <c r="B3424" s="3" t="s">
        <v>11</v>
      </c>
      <c r="C3424" s="3">
        <v>1</v>
      </c>
      <c r="D3424" s="3">
        <v>1</v>
      </c>
      <c r="E3424" s="3">
        <v>0</v>
      </c>
      <c r="F3424" s="3">
        <v>1</v>
      </c>
      <c r="G3424" s="3">
        <v>0</v>
      </c>
    </row>
    <row r="3425" spans="1:7" x14ac:dyDescent="0.25">
      <c r="A3425" s="3" t="s">
        <v>107</v>
      </c>
      <c r="B3425" s="3" t="s">
        <v>175</v>
      </c>
      <c r="C3425" s="3">
        <v>7</v>
      </c>
      <c r="D3425" s="3">
        <v>6</v>
      </c>
      <c r="E3425" s="3">
        <v>3</v>
      </c>
      <c r="F3425" s="3">
        <v>3</v>
      </c>
      <c r="G3425" s="3">
        <v>0</v>
      </c>
    </row>
    <row r="3426" spans="1:7" x14ac:dyDescent="0.25">
      <c r="A3426" s="3" t="s">
        <v>107</v>
      </c>
      <c r="B3426" s="3" t="s">
        <v>176</v>
      </c>
      <c r="C3426" s="3">
        <v>7</v>
      </c>
      <c r="D3426" s="3">
        <v>7</v>
      </c>
      <c r="E3426" s="3">
        <v>6</v>
      </c>
      <c r="F3426" s="3">
        <v>1</v>
      </c>
      <c r="G3426" s="3">
        <v>0</v>
      </c>
    </row>
    <row r="3427" spans="1:7" x14ac:dyDescent="0.25">
      <c r="A3427" s="3" t="s">
        <v>107</v>
      </c>
      <c r="B3427" s="3" t="s">
        <v>174</v>
      </c>
      <c r="C3427" s="3">
        <v>8</v>
      </c>
      <c r="D3427" s="3">
        <v>8</v>
      </c>
      <c r="E3427" s="3">
        <v>4</v>
      </c>
      <c r="F3427" s="3">
        <v>4</v>
      </c>
      <c r="G3427" s="3">
        <v>0</v>
      </c>
    </row>
    <row r="3428" spans="1:7" x14ac:dyDescent="0.25">
      <c r="A3428" s="3" t="s">
        <v>134</v>
      </c>
      <c r="B3428" s="3" t="s">
        <v>175</v>
      </c>
      <c r="C3428" s="3">
        <v>1</v>
      </c>
      <c r="D3428" s="3">
        <v>0</v>
      </c>
      <c r="E3428" s="3">
        <v>0</v>
      </c>
      <c r="F3428" s="3">
        <v>0</v>
      </c>
      <c r="G3428" s="3">
        <v>0</v>
      </c>
    </row>
    <row r="3429" spans="1:7" x14ac:dyDescent="0.25">
      <c r="A3429" s="3" t="s">
        <v>121</v>
      </c>
      <c r="B3429" s="3" t="s">
        <v>175</v>
      </c>
      <c r="C3429" s="3">
        <v>5</v>
      </c>
      <c r="D3429" s="3">
        <v>5</v>
      </c>
      <c r="E3429" s="3">
        <v>3</v>
      </c>
      <c r="F3429" s="3">
        <v>2</v>
      </c>
      <c r="G3429" s="3">
        <v>0</v>
      </c>
    </row>
    <row r="3430" spans="1:7" x14ac:dyDescent="0.25">
      <c r="A3430" s="3" t="s">
        <v>121</v>
      </c>
      <c r="B3430" s="3" t="s">
        <v>11</v>
      </c>
      <c r="C3430" s="3">
        <v>1</v>
      </c>
      <c r="D3430" s="3">
        <v>1</v>
      </c>
      <c r="E3430" s="3">
        <v>1</v>
      </c>
      <c r="F3430" s="3">
        <v>0</v>
      </c>
      <c r="G3430" s="3">
        <v>0</v>
      </c>
    </row>
    <row r="3431" spans="1:7" x14ac:dyDescent="0.25">
      <c r="A3431" s="3" t="s">
        <v>121</v>
      </c>
      <c r="B3431" s="3" t="s">
        <v>174</v>
      </c>
      <c r="C3431" s="3">
        <v>7</v>
      </c>
      <c r="D3431" s="3">
        <v>7</v>
      </c>
      <c r="E3431" s="3">
        <v>4</v>
      </c>
      <c r="F3431" s="3">
        <v>3</v>
      </c>
      <c r="G3431" s="3">
        <v>0</v>
      </c>
    </row>
    <row r="3432" spans="1:7" x14ac:dyDescent="0.25">
      <c r="A3432" s="3" t="s">
        <v>121</v>
      </c>
      <c r="B3432" s="3" t="s">
        <v>176</v>
      </c>
      <c r="C3432" s="3">
        <v>2</v>
      </c>
      <c r="D3432" s="3">
        <v>2</v>
      </c>
      <c r="E3432" s="3">
        <v>2</v>
      </c>
      <c r="F3432" s="3">
        <v>0</v>
      </c>
      <c r="G3432" s="3">
        <v>0</v>
      </c>
    </row>
    <row r="3433" spans="1:7" x14ac:dyDescent="0.25">
      <c r="A3433" s="3" t="s">
        <v>80</v>
      </c>
      <c r="B3433" s="3" t="s">
        <v>175</v>
      </c>
      <c r="C3433" s="3">
        <v>15</v>
      </c>
      <c r="D3433" s="3">
        <v>15</v>
      </c>
      <c r="E3433" s="3">
        <v>13</v>
      </c>
      <c r="F3433" s="3">
        <v>2</v>
      </c>
      <c r="G3433" s="3">
        <v>0</v>
      </c>
    </row>
    <row r="3434" spans="1:7" x14ac:dyDescent="0.25">
      <c r="A3434" s="3" t="s">
        <v>80</v>
      </c>
      <c r="B3434" s="3" t="s">
        <v>11</v>
      </c>
      <c r="C3434" s="3">
        <v>1</v>
      </c>
      <c r="D3434" s="3">
        <v>1</v>
      </c>
      <c r="E3434" s="3">
        <v>1</v>
      </c>
      <c r="F3434" s="3">
        <v>0</v>
      </c>
      <c r="G3434" s="3">
        <v>0</v>
      </c>
    </row>
    <row r="3435" spans="1:7" x14ac:dyDescent="0.25">
      <c r="A3435" s="3" t="s">
        <v>80</v>
      </c>
      <c r="B3435" s="3" t="s">
        <v>176</v>
      </c>
      <c r="C3435" s="3">
        <v>3</v>
      </c>
      <c r="D3435" s="3">
        <v>3</v>
      </c>
      <c r="E3435" s="3">
        <v>3</v>
      </c>
      <c r="F3435" s="3">
        <v>0</v>
      </c>
      <c r="G3435" s="3">
        <v>0</v>
      </c>
    </row>
    <row r="3436" spans="1:7" x14ac:dyDescent="0.25">
      <c r="A3436" s="3" t="s">
        <v>80</v>
      </c>
      <c r="B3436" s="3" t="s">
        <v>174</v>
      </c>
      <c r="C3436" s="3">
        <v>5</v>
      </c>
      <c r="D3436" s="3">
        <v>5</v>
      </c>
      <c r="E3436" s="3">
        <v>5</v>
      </c>
      <c r="F3436" s="3">
        <v>0</v>
      </c>
      <c r="G3436" s="3">
        <v>0</v>
      </c>
    </row>
    <row r="3437" spans="1:7" x14ac:dyDescent="0.25">
      <c r="A3437" s="3" t="s">
        <v>101</v>
      </c>
      <c r="B3437" s="3" t="s">
        <v>175</v>
      </c>
      <c r="C3437" s="3">
        <v>11</v>
      </c>
      <c r="D3437" s="3">
        <v>11</v>
      </c>
      <c r="E3437" s="3">
        <v>9</v>
      </c>
      <c r="F3437" s="3">
        <v>2</v>
      </c>
      <c r="G3437" s="3">
        <v>0</v>
      </c>
    </row>
    <row r="3438" spans="1:7" x14ac:dyDescent="0.25">
      <c r="A3438" s="3" t="s">
        <v>101</v>
      </c>
      <c r="B3438" s="3" t="s">
        <v>176</v>
      </c>
      <c r="C3438" s="3">
        <v>5</v>
      </c>
      <c r="D3438" s="3">
        <v>5</v>
      </c>
      <c r="E3438" s="3">
        <v>5</v>
      </c>
      <c r="F3438" s="3">
        <v>0</v>
      </c>
      <c r="G3438" s="3">
        <v>0</v>
      </c>
    </row>
    <row r="3439" spans="1:7" x14ac:dyDescent="0.25">
      <c r="A3439" s="3" t="s">
        <v>101</v>
      </c>
      <c r="B3439" s="3" t="s">
        <v>174</v>
      </c>
      <c r="C3439" s="3">
        <v>2</v>
      </c>
      <c r="D3439" s="3">
        <v>2</v>
      </c>
      <c r="E3439" s="3">
        <v>2</v>
      </c>
      <c r="F3439" s="3">
        <v>0</v>
      </c>
      <c r="G3439" s="3">
        <v>0</v>
      </c>
    </row>
    <row r="3440" spans="1:7" x14ac:dyDescent="0.25">
      <c r="A3440" s="3" t="s">
        <v>52</v>
      </c>
      <c r="B3440" s="3" t="s">
        <v>175</v>
      </c>
      <c r="C3440" s="3">
        <v>12</v>
      </c>
      <c r="D3440" s="3">
        <v>11</v>
      </c>
      <c r="E3440" s="3">
        <v>9</v>
      </c>
      <c r="F3440" s="3">
        <v>2</v>
      </c>
      <c r="G3440" s="3">
        <v>0</v>
      </c>
    </row>
    <row r="3441" spans="1:7" x14ac:dyDescent="0.25">
      <c r="A3441" s="3" t="s">
        <v>52</v>
      </c>
      <c r="B3441" s="3" t="s">
        <v>11</v>
      </c>
      <c r="C3441" s="3">
        <v>4</v>
      </c>
      <c r="D3441" s="3">
        <v>4</v>
      </c>
      <c r="E3441" s="3">
        <v>3</v>
      </c>
      <c r="F3441" s="3">
        <v>1</v>
      </c>
      <c r="G3441" s="3">
        <v>0</v>
      </c>
    </row>
    <row r="3442" spans="1:7" x14ac:dyDescent="0.25">
      <c r="A3442" s="3" t="s">
        <v>52</v>
      </c>
      <c r="B3442" s="3" t="s">
        <v>174</v>
      </c>
      <c r="C3442" s="3">
        <v>16</v>
      </c>
      <c r="D3442" s="3">
        <v>16</v>
      </c>
      <c r="E3442" s="3">
        <v>9</v>
      </c>
      <c r="F3442" s="3">
        <v>7</v>
      </c>
      <c r="G3442" s="3">
        <v>0</v>
      </c>
    </row>
    <row r="3443" spans="1:7" x14ac:dyDescent="0.25">
      <c r="A3443" s="3" t="s">
        <v>52</v>
      </c>
      <c r="B3443" s="3" t="s">
        <v>176</v>
      </c>
      <c r="C3443" s="3">
        <v>17</v>
      </c>
      <c r="D3443" s="3">
        <v>17</v>
      </c>
      <c r="E3443" s="3">
        <v>17</v>
      </c>
      <c r="F3443" s="3">
        <v>0</v>
      </c>
      <c r="G3443" s="3">
        <v>0</v>
      </c>
    </row>
    <row r="3444" spans="1:7" x14ac:dyDescent="0.25">
      <c r="A3444" s="3" t="s">
        <v>33</v>
      </c>
      <c r="B3444" s="3" t="s">
        <v>175</v>
      </c>
      <c r="C3444" s="3">
        <v>4</v>
      </c>
      <c r="D3444" s="3">
        <v>4</v>
      </c>
      <c r="E3444" s="3">
        <v>3</v>
      </c>
      <c r="F3444" s="3">
        <v>1</v>
      </c>
      <c r="G3444" s="3">
        <v>0</v>
      </c>
    </row>
    <row r="3445" spans="1:7" x14ac:dyDescent="0.25">
      <c r="A3445" s="3" t="s">
        <v>33</v>
      </c>
      <c r="B3445" s="3" t="s">
        <v>176</v>
      </c>
      <c r="C3445" s="3">
        <v>5</v>
      </c>
      <c r="D3445" s="3">
        <v>5</v>
      </c>
      <c r="E3445" s="3">
        <v>4</v>
      </c>
      <c r="F3445" s="3">
        <v>1</v>
      </c>
      <c r="G3445" s="3">
        <v>0</v>
      </c>
    </row>
    <row r="3446" spans="1:7" x14ac:dyDescent="0.25">
      <c r="A3446" s="3" t="s">
        <v>33</v>
      </c>
      <c r="B3446" s="3" t="s">
        <v>174</v>
      </c>
      <c r="C3446" s="3">
        <v>6</v>
      </c>
      <c r="D3446" s="3">
        <v>6</v>
      </c>
      <c r="E3446" s="3">
        <v>5</v>
      </c>
      <c r="F3446" s="3">
        <v>1</v>
      </c>
      <c r="G3446" s="3">
        <v>0</v>
      </c>
    </row>
    <row r="3447" spans="1:7" x14ac:dyDescent="0.25">
      <c r="A3447" s="3" t="s">
        <v>33</v>
      </c>
      <c r="B3447" s="3" t="s">
        <v>11</v>
      </c>
      <c r="C3447" s="3">
        <v>3</v>
      </c>
      <c r="D3447" s="3">
        <v>3</v>
      </c>
      <c r="E3447" s="3">
        <v>3</v>
      </c>
      <c r="F3447" s="3">
        <v>0</v>
      </c>
      <c r="G3447" s="3">
        <v>0</v>
      </c>
    </row>
    <row r="3448" spans="1:7" x14ac:dyDescent="0.25">
      <c r="A3448" s="3" t="s">
        <v>45</v>
      </c>
      <c r="B3448" s="3" t="s">
        <v>174</v>
      </c>
      <c r="C3448" s="3">
        <v>1</v>
      </c>
      <c r="D3448" s="3">
        <v>1</v>
      </c>
      <c r="E3448" s="3">
        <v>1</v>
      </c>
      <c r="F3448" s="3">
        <v>0</v>
      </c>
      <c r="G3448" s="3">
        <v>0</v>
      </c>
    </row>
    <row r="3449" spans="1:7" x14ac:dyDescent="0.25">
      <c r="A3449" s="3" t="s">
        <v>45</v>
      </c>
      <c r="B3449" s="3" t="s">
        <v>11</v>
      </c>
      <c r="C3449" s="3">
        <v>2</v>
      </c>
      <c r="D3449" s="3">
        <v>2</v>
      </c>
      <c r="E3449" s="3">
        <v>2</v>
      </c>
      <c r="F3449" s="3">
        <v>0</v>
      </c>
      <c r="G3449" s="3">
        <v>0</v>
      </c>
    </row>
    <row r="3450" spans="1:7" x14ac:dyDescent="0.25">
      <c r="A3450" s="3" t="s">
        <v>45</v>
      </c>
      <c r="B3450" s="3" t="s">
        <v>176</v>
      </c>
      <c r="C3450" s="3">
        <v>2</v>
      </c>
      <c r="D3450" s="3">
        <v>2</v>
      </c>
      <c r="E3450" s="3">
        <v>2</v>
      </c>
      <c r="F3450" s="3">
        <v>0</v>
      </c>
      <c r="G3450" s="3">
        <v>0</v>
      </c>
    </row>
    <row r="3451" spans="1:7" x14ac:dyDescent="0.25">
      <c r="A3451" s="3" t="s">
        <v>143</v>
      </c>
      <c r="B3451" s="3" t="s">
        <v>176</v>
      </c>
      <c r="C3451" s="3">
        <v>1</v>
      </c>
      <c r="D3451" s="3">
        <v>1</v>
      </c>
      <c r="E3451" s="3">
        <v>1</v>
      </c>
      <c r="F3451" s="3">
        <v>0</v>
      </c>
      <c r="G3451" s="3">
        <v>0</v>
      </c>
    </row>
    <row r="3452" spans="1:7" x14ac:dyDescent="0.25">
      <c r="A3452" s="3" t="s">
        <v>143</v>
      </c>
      <c r="B3452" s="3" t="s">
        <v>174</v>
      </c>
      <c r="C3452" s="3">
        <v>3</v>
      </c>
      <c r="D3452" s="3">
        <v>3</v>
      </c>
      <c r="E3452" s="3">
        <v>3</v>
      </c>
      <c r="F3452" s="3">
        <v>0</v>
      </c>
      <c r="G3452" s="3">
        <v>0</v>
      </c>
    </row>
    <row r="3453" spans="1:7" x14ac:dyDescent="0.25">
      <c r="A3453" s="3" t="s">
        <v>143</v>
      </c>
      <c r="B3453" s="3" t="s">
        <v>175</v>
      </c>
      <c r="C3453" s="3">
        <v>17</v>
      </c>
      <c r="D3453" s="3">
        <v>17</v>
      </c>
      <c r="E3453" s="3">
        <v>9</v>
      </c>
      <c r="F3453" s="3">
        <v>8</v>
      </c>
      <c r="G3453" s="3">
        <v>0</v>
      </c>
    </row>
    <row r="3454" spans="1:7" x14ac:dyDescent="0.25">
      <c r="A3454" s="3" t="s">
        <v>143</v>
      </c>
      <c r="B3454" s="3" t="s">
        <v>11</v>
      </c>
      <c r="C3454" s="3">
        <v>1</v>
      </c>
      <c r="D3454" s="3">
        <v>1</v>
      </c>
      <c r="E3454" s="3">
        <v>1</v>
      </c>
      <c r="F3454" s="3">
        <v>0</v>
      </c>
      <c r="G3454" s="3">
        <v>0</v>
      </c>
    </row>
    <row r="3455" spans="1:7" x14ac:dyDescent="0.25">
      <c r="A3455" s="3" t="s">
        <v>46</v>
      </c>
      <c r="B3455" s="3" t="s">
        <v>175</v>
      </c>
      <c r="C3455" s="3">
        <v>4</v>
      </c>
      <c r="D3455" s="3">
        <v>3</v>
      </c>
      <c r="E3455" s="3">
        <v>3</v>
      </c>
      <c r="F3455" s="3">
        <v>0</v>
      </c>
      <c r="G3455" s="3">
        <v>0</v>
      </c>
    </row>
    <row r="3456" spans="1:7" x14ac:dyDescent="0.25">
      <c r="A3456" s="3" t="s">
        <v>46</v>
      </c>
      <c r="B3456" s="3" t="s">
        <v>174</v>
      </c>
      <c r="C3456" s="3">
        <v>1</v>
      </c>
      <c r="D3456" s="3">
        <v>1</v>
      </c>
      <c r="E3456" s="3">
        <v>1</v>
      </c>
      <c r="F3456" s="3">
        <v>0</v>
      </c>
      <c r="G3456" s="3">
        <v>0</v>
      </c>
    </row>
    <row r="3457" spans="1:7" x14ac:dyDescent="0.25">
      <c r="A3457" s="3" t="s">
        <v>46</v>
      </c>
      <c r="B3457" s="3" t="s">
        <v>3</v>
      </c>
      <c r="C3457" s="3">
        <v>1</v>
      </c>
      <c r="D3457" s="3">
        <v>1</v>
      </c>
      <c r="E3457" s="3">
        <v>1</v>
      </c>
      <c r="F3457" s="3">
        <v>0</v>
      </c>
      <c r="G3457" s="3">
        <v>0</v>
      </c>
    </row>
    <row r="3458" spans="1:7" x14ac:dyDescent="0.25">
      <c r="A3458" s="3" t="s">
        <v>46</v>
      </c>
      <c r="B3458" s="3" t="s">
        <v>11</v>
      </c>
      <c r="C3458" s="3">
        <v>5</v>
      </c>
      <c r="D3458" s="3">
        <v>5</v>
      </c>
      <c r="E3458" s="3">
        <v>5</v>
      </c>
      <c r="F3458" s="3">
        <v>0</v>
      </c>
      <c r="G3458" s="3">
        <v>0</v>
      </c>
    </row>
    <row r="3459" spans="1:7" x14ac:dyDescent="0.25">
      <c r="A3459" s="3" t="s">
        <v>46</v>
      </c>
      <c r="B3459" s="3" t="s">
        <v>182</v>
      </c>
      <c r="C3459" s="3">
        <v>1</v>
      </c>
      <c r="D3459" s="3">
        <v>1</v>
      </c>
      <c r="E3459" s="3">
        <v>1</v>
      </c>
      <c r="F3459" s="3">
        <v>0</v>
      </c>
      <c r="G3459" s="3">
        <v>0</v>
      </c>
    </row>
    <row r="3460" spans="1:7" x14ac:dyDescent="0.25">
      <c r="A3460" s="3" t="s">
        <v>46</v>
      </c>
      <c r="B3460" s="3" t="s">
        <v>176</v>
      </c>
      <c r="C3460" s="3">
        <v>6</v>
      </c>
      <c r="D3460" s="3">
        <v>6</v>
      </c>
      <c r="E3460" s="3">
        <v>5</v>
      </c>
      <c r="F3460" s="3">
        <v>1</v>
      </c>
      <c r="G3460" s="3">
        <v>0</v>
      </c>
    </row>
    <row r="3461" spans="1:7" x14ac:dyDescent="0.25">
      <c r="A3461" s="3" t="s">
        <v>170</v>
      </c>
      <c r="B3461" s="3" t="s">
        <v>174</v>
      </c>
      <c r="C3461" s="3">
        <v>11</v>
      </c>
      <c r="D3461" s="3">
        <v>11</v>
      </c>
      <c r="E3461" s="3">
        <v>6</v>
      </c>
      <c r="F3461" s="3">
        <v>5</v>
      </c>
      <c r="G3461" s="3">
        <v>0</v>
      </c>
    </row>
    <row r="3462" spans="1:7" x14ac:dyDescent="0.25">
      <c r="A3462" s="3" t="s">
        <v>170</v>
      </c>
      <c r="B3462" s="3" t="s">
        <v>175</v>
      </c>
      <c r="C3462" s="3">
        <v>32</v>
      </c>
      <c r="D3462" s="3">
        <v>31</v>
      </c>
      <c r="E3462" s="3">
        <v>29</v>
      </c>
      <c r="F3462" s="3">
        <v>2</v>
      </c>
      <c r="G3462" s="3">
        <v>0</v>
      </c>
    </row>
    <row r="3463" spans="1:7" x14ac:dyDescent="0.25">
      <c r="A3463" s="3" t="s">
        <v>170</v>
      </c>
      <c r="B3463" s="3" t="s">
        <v>11</v>
      </c>
      <c r="C3463" s="3">
        <v>19</v>
      </c>
      <c r="D3463" s="3">
        <v>19</v>
      </c>
      <c r="E3463" s="3">
        <v>15</v>
      </c>
      <c r="F3463" s="3">
        <v>4</v>
      </c>
      <c r="G3463" s="3">
        <v>0</v>
      </c>
    </row>
    <row r="3464" spans="1:7" x14ac:dyDescent="0.25">
      <c r="A3464" s="3" t="s">
        <v>170</v>
      </c>
      <c r="B3464" s="3" t="s">
        <v>176</v>
      </c>
      <c r="C3464" s="3">
        <v>19</v>
      </c>
      <c r="D3464" s="3">
        <v>19</v>
      </c>
      <c r="E3464" s="3">
        <v>16</v>
      </c>
      <c r="F3464" s="3">
        <v>3</v>
      </c>
      <c r="G3464" s="3">
        <v>0</v>
      </c>
    </row>
    <row r="3465" spans="1:7" x14ac:dyDescent="0.25">
      <c r="A3465" s="3" t="s">
        <v>120</v>
      </c>
      <c r="B3465" s="3" t="s">
        <v>174</v>
      </c>
      <c r="C3465" s="3">
        <v>25</v>
      </c>
      <c r="D3465" s="3">
        <v>24</v>
      </c>
      <c r="E3465" s="3">
        <v>19</v>
      </c>
      <c r="F3465" s="3">
        <v>5</v>
      </c>
      <c r="G3465" s="3">
        <v>1</v>
      </c>
    </row>
    <row r="3466" spans="1:7" x14ac:dyDescent="0.25">
      <c r="A3466" s="3" t="s">
        <v>120</v>
      </c>
      <c r="B3466" s="3" t="s">
        <v>176</v>
      </c>
      <c r="C3466" s="3">
        <v>12</v>
      </c>
      <c r="D3466" s="3">
        <v>12</v>
      </c>
      <c r="E3466" s="3">
        <v>9</v>
      </c>
      <c r="F3466" s="3">
        <v>3</v>
      </c>
      <c r="G3466" s="3">
        <v>0</v>
      </c>
    </row>
    <row r="3467" spans="1:7" x14ac:dyDescent="0.25">
      <c r="A3467" s="3" t="s">
        <v>120</v>
      </c>
      <c r="B3467" s="3" t="s">
        <v>11</v>
      </c>
      <c r="C3467" s="3">
        <v>21</v>
      </c>
      <c r="D3467" s="3">
        <v>21</v>
      </c>
      <c r="E3467" s="3">
        <v>18</v>
      </c>
      <c r="F3467" s="3">
        <v>3</v>
      </c>
      <c r="G3467" s="3">
        <v>0</v>
      </c>
    </row>
    <row r="3468" spans="1:7" x14ac:dyDescent="0.25">
      <c r="A3468" s="3" t="s">
        <v>120</v>
      </c>
      <c r="B3468" s="3" t="s">
        <v>175</v>
      </c>
      <c r="C3468" s="3">
        <v>17</v>
      </c>
      <c r="D3468" s="3">
        <v>16</v>
      </c>
      <c r="E3468" s="3">
        <v>9</v>
      </c>
      <c r="F3468" s="3">
        <v>7</v>
      </c>
      <c r="G3468" s="3">
        <v>0</v>
      </c>
    </row>
    <row r="3469" spans="1:7" x14ac:dyDescent="0.25">
      <c r="A3469" s="3" t="s">
        <v>179</v>
      </c>
      <c r="B3469" s="3" t="s">
        <v>174</v>
      </c>
      <c r="C3469" s="3">
        <v>3</v>
      </c>
      <c r="D3469" s="3">
        <v>3</v>
      </c>
      <c r="E3469" s="3">
        <v>2</v>
      </c>
      <c r="F3469" s="3">
        <v>1</v>
      </c>
      <c r="G3469" s="3">
        <v>0</v>
      </c>
    </row>
    <row r="3470" spans="1:7" x14ac:dyDescent="0.25">
      <c r="A3470" s="3" t="s">
        <v>179</v>
      </c>
      <c r="B3470" s="3" t="s">
        <v>11</v>
      </c>
      <c r="C3470" s="3">
        <v>1</v>
      </c>
      <c r="D3470" s="3">
        <v>1</v>
      </c>
      <c r="E3470" s="3">
        <v>0</v>
      </c>
      <c r="F3470" s="3">
        <v>1</v>
      </c>
      <c r="G3470" s="3">
        <v>0</v>
      </c>
    </row>
    <row r="3471" spans="1:7" x14ac:dyDescent="0.25">
      <c r="A3471" s="3" t="s">
        <v>179</v>
      </c>
      <c r="B3471" s="3" t="s">
        <v>176</v>
      </c>
      <c r="C3471" s="3">
        <v>16</v>
      </c>
      <c r="D3471" s="3">
        <v>15</v>
      </c>
      <c r="E3471" s="3">
        <v>14</v>
      </c>
      <c r="F3471" s="3">
        <v>1</v>
      </c>
      <c r="G3471" s="3">
        <v>0</v>
      </c>
    </row>
    <row r="3472" spans="1:7" x14ac:dyDescent="0.25">
      <c r="A3472" s="3" t="s">
        <v>179</v>
      </c>
      <c r="B3472" s="3" t="s">
        <v>175</v>
      </c>
      <c r="C3472" s="3">
        <v>14</v>
      </c>
      <c r="D3472" s="3">
        <v>14</v>
      </c>
      <c r="E3472" s="3">
        <v>10</v>
      </c>
      <c r="F3472" s="3">
        <v>4</v>
      </c>
      <c r="G3472" s="3">
        <v>0</v>
      </c>
    </row>
    <row r="3473" spans="1:7" x14ac:dyDescent="0.25">
      <c r="A3473" s="3" t="s">
        <v>86</v>
      </c>
      <c r="B3473" s="3" t="s">
        <v>175</v>
      </c>
      <c r="C3473" s="3">
        <v>9</v>
      </c>
      <c r="D3473" s="3">
        <v>9</v>
      </c>
      <c r="E3473" s="3">
        <v>6</v>
      </c>
      <c r="F3473" s="3">
        <v>3</v>
      </c>
      <c r="G3473" s="3">
        <v>0</v>
      </c>
    </row>
    <row r="3474" spans="1:7" x14ac:dyDescent="0.25">
      <c r="A3474" s="3" t="s">
        <v>86</v>
      </c>
      <c r="B3474" s="3" t="s">
        <v>11</v>
      </c>
      <c r="C3474" s="3">
        <v>13</v>
      </c>
      <c r="D3474" s="3">
        <v>13</v>
      </c>
      <c r="E3474" s="3">
        <v>10</v>
      </c>
      <c r="F3474" s="3">
        <v>3</v>
      </c>
      <c r="G3474" s="3">
        <v>0</v>
      </c>
    </row>
    <row r="3475" spans="1:7" x14ac:dyDescent="0.25">
      <c r="A3475" s="3" t="s">
        <v>86</v>
      </c>
      <c r="B3475" s="3" t="s">
        <v>176</v>
      </c>
      <c r="C3475" s="3">
        <v>20</v>
      </c>
      <c r="D3475" s="3">
        <v>20</v>
      </c>
      <c r="E3475" s="3">
        <v>18</v>
      </c>
      <c r="F3475" s="3">
        <v>2</v>
      </c>
      <c r="G3475" s="3">
        <v>0</v>
      </c>
    </row>
    <row r="3476" spans="1:7" x14ac:dyDescent="0.25">
      <c r="A3476" s="3" t="s">
        <v>86</v>
      </c>
      <c r="B3476" s="3" t="s">
        <v>174</v>
      </c>
      <c r="C3476" s="3">
        <v>19</v>
      </c>
      <c r="D3476" s="3">
        <v>19</v>
      </c>
      <c r="E3476" s="3">
        <v>16</v>
      </c>
      <c r="F3476" s="3">
        <v>3</v>
      </c>
      <c r="G3476" s="3">
        <v>0</v>
      </c>
    </row>
    <row r="3477" spans="1:7" x14ac:dyDescent="0.25">
      <c r="A3477" s="3" t="s">
        <v>154</v>
      </c>
      <c r="B3477" s="3" t="s">
        <v>174</v>
      </c>
      <c r="C3477" s="3">
        <v>3</v>
      </c>
      <c r="D3477" s="3">
        <v>3</v>
      </c>
      <c r="E3477" s="3">
        <v>2</v>
      </c>
      <c r="F3477" s="3">
        <v>1</v>
      </c>
      <c r="G3477" s="3">
        <v>0</v>
      </c>
    </row>
    <row r="3478" spans="1:7" x14ac:dyDescent="0.25">
      <c r="A3478" s="3" t="s">
        <v>154</v>
      </c>
      <c r="B3478" s="3" t="s">
        <v>176</v>
      </c>
      <c r="C3478" s="3">
        <v>12</v>
      </c>
      <c r="D3478" s="3">
        <v>12</v>
      </c>
      <c r="E3478" s="3">
        <v>8</v>
      </c>
      <c r="F3478" s="3">
        <v>4</v>
      </c>
      <c r="G3478" s="3">
        <v>0</v>
      </c>
    </row>
    <row r="3479" spans="1:7" x14ac:dyDescent="0.25">
      <c r="A3479" s="3" t="s">
        <v>154</v>
      </c>
      <c r="B3479" s="3" t="s">
        <v>175</v>
      </c>
      <c r="C3479" s="3">
        <v>13</v>
      </c>
      <c r="D3479" s="3">
        <v>13</v>
      </c>
      <c r="E3479" s="3">
        <v>8</v>
      </c>
      <c r="F3479" s="3">
        <v>5</v>
      </c>
      <c r="G3479" s="3">
        <v>0</v>
      </c>
    </row>
    <row r="3480" spans="1:7" x14ac:dyDescent="0.25">
      <c r="A3480" s="3" t="s">
        <v>154</v>
      </c>
      <c r="B3480" s="3" t="s">
        <v>11</v>
      </c>
      <c r="C3480" s="3">
        <v>4</v>
      </c>
      <c r="D3480" s="3">
        <v>3</v>
      </c>
      <c r="E3480" s="3">
        <v>0</v>
      </c>
      <c r="F3480" s="3">
        <v>3</v>
      </c>
      <c r="G3480" s="3">
        <v>0</v>
      </c>
    </row>
    <row r="3481" spans="1:7" x14ac:dyDescent="0.25">
      <c r="A3481" s="3" t="s">
        <v>140</v>
      </c>
      <c r="B3481" s="3" t="s">
        <v>11</v>
      </c>
      <c r="C3481" s="3">
        <v>1</v>
      </c>
      <c r="D3481" s="3">
        <v>1</v>
      </c>
      <c r="E3481" s="3">
        <v>1</v>
      </c>
      <c r="F3481" s="3">
        <v>0</v>
      </c>
      <c r="G3481" s="3">
        <v>0</v>
      </c>
    </row>
    <row r="3482" spans="1:7" x14ac:dyDescent="0.25">
      <c r="A3482" s="3" t="s">
        <v>140</v>
      </c>
      <c r="B3482" s="3" t="s">
        <v>176</v>
      </c>
      <c r="C3482" s="3">
        <v>2</v>
      </c>
      <c r="D3482" s="3">
        <v>2</v>
      </c>
      <c r="E3482" s="3">
        <v>2</v>
      </c>
      <c r="F3482" s="3">
        <v>0</v>
      </c>
      <c r="G3482" s="3">
        <v>0</v>
      </c>
    </row>
    <row r="3483" spans="1:7" x14ac:dyDescent="0.25">
      <c r="A3483" s="3" t="s">
        <v>140</v>
      </c>
      <c r="B3483" s="3" t="s">
        <v>175</v>
      </c>
      <c r="C3483" s="3">
        <v>3</v>
      </c>
      <c r="D3483" s="3">
        <v>2</v>
      </c>
      <c r="E3483" s="3">
        <v>1</v>
      </c>
      <c r="F3483" s="3">
        <v>1</v>
      </c>
      <c r="G3483" s="3">
        <v>0</v>
      </c>
    </row>
    <row r="3484" spans="1:7" x14ac:dyDescent="0.25">
      <c r="A3484" s="3" t="s">
        <v>48</v>
      </c>
      <c r="B3484" s="3" t="s">
        <v>174</v>
      </c>
      <c r="C3484" s="3">
        <v>1</v>
      </c>
      <c r="D3484" s="3">
        <v>1</v>
      </c>
      <c r="E3484" s="3">
        <v>1</v>
      </c>
      <c r="F3484" s="3">
        <v>0</v>
      </c>
      <c r="G3484" s="3">
        <v>0</v>
      </c>
    </row>
    <row r="3485" spans="1:7" x14ac:dyDescent="0.25">
      <c r="A3485" s="3" t="s">
        <v>48</v>
      </c>
      <c r="B3485" s="3" t="s">
        <v>175</v>
      </c>
      <c r="C3485" s="3">
        <v>1</v>
      </c>
      <c r="D3485" s="3">
        <v>1</v>
      </c>
      <c r="E3485" s="3">
        <v>1</v>
      </c>
      <c r="F3485" s="3">
        <v>0</v>
      </c>
      <c r="G3485" s="3">
        <v>0</v>
      </c>
    </row>
    <row r="3486" spans="1:7" x14ac:dyDescent="0.25">
      <c r="A3486" s="3" t="s">
        <v>48</v>
      </c>
      <c r="B3486" s="3" t="s">
        <v>11</v>
      </c>
      <c r="C3486" s="3">
        <v>1</v>
      </c>
      <c r="D3486" s="3">
        <v>1</v>
      </c>
      <c r="E3486" s="3">
        <v>0</v>
      </c>
      <c r="F3486" s="3">
        <v>1</v>
      </c>
      <c r="G3486" s="3">
        <v>0</v>
      </c>
    </row>
    <row r="3487" spans="1:7" x14ac:dyDescent="0.25">
      <c r="A3487" s="3" t="s">
        <v>166</v>
      </c>
      <c r="B3487" s="3" t="s">
        <v>174</v>
      </c>
      <c r="C3487" s="3">
        <v>12</v>
      </c>
      <c r="D3487" s="3">
        <v>12</v>
      </c>
      <c r="E3487" s="3">
        <v>7</v>
      </c>
      <c r="F3487" s="3">
        <v>5</v>
      </c>
      <c r="G3487" s="3">
        <v>0</v>
      </c>
    </row>
    <row r="3488" spans="1:7" x14ac:dyDescent="0.25">
      <c r="A3488" s="3" t="s">
        <v>166</v>
      </c>
      <c r="B3488" s="3" t="s">
        <v>176</v>
      </c>
      <c r="C3488" s="3">
        <v>4</v>
      </c>
      <c r="D3488" s="3">
        <v>4</v>
      </c>
      <c r="E3488" s="3">
        <v>4</v>
      </c>
      <c r="F3488" s="3">
        <v>0</v>
      </c>
      <c r="G3488" s="3">
        <v>0</v>
      </c>
    </row>
    <row r="3489" spans="1:7" x14ac:dyDescent="0.25">
      <c r="A3489" s="3" t="s">
        <v>166</v>
      </c>
      <c r="B3489" s="3" t="s">
        <v>11</v>
      </c>
      <c r="C3489" s="3">
        <v>2</v>
      </c>
      <c r="D3489" s="3">
        <v>2</v>
      </c>
      <c r="E3489" s="3">
        <v>2</v>
      </c>
      <c r="F3489" s="3">
        <v>0</v>
      </c>
      <c r="G3489" s="3">
        <v>0</v>
      </c>
    </row>
    <row r="3490" spans="1:7" x14ac:dyDescent="0.25">
      <c r="A3490" s="3" t="s">
        <v>166</v>
      </c>
      <c r="B3490" s="3" t="s">
        <v>175</v>
      </c>
      <c r="C3490" s="3">
        <v>19</v>
      </c>
      <c r="D3490" s="3">
        <v>19</v>
      </c>
      <c r="E3490" s="3">
        <v>11</v>
      </c>
      <c r="F3490" s="3">
        <v>8</v>
      </c>
      <c r="G3490" s="3">
        <v>0</v>
      </c>
    </row>
    <row r="3491" spans="1:7" x14ac:dyDescent="0.25">
      <c r="A3491" s="3" t="s">
        <v>92</v>
      </c>
      <c r="B3491" s="3" t="s">
        <v>175</v>
      </c>
      <c r="C3491" s="3">
        <v>1</v>
      </c>
      <c r="D3491" s="3">
        <v>0</v>
      </c>
      <c r="E3491" s="3">
        <v>0</v>
      </c>
      <c r="F3491" s="3">
        <v>0</v>
      </c>
      <c r="G3491" s="3">
        <v>0</v>
      </c>
    </row>
    <row r="3492" spans="1:7" x14ac:dyDescent="0.25">
      <c r="A3492" s="3" t="s">
        <v>92</v>
      </c>
      <c r="B3492" s="3" t="s">
        <v>176</v>
      </c>
      <c r="C3492" s="3">
        <v>2</v>
      </c>
      <c r="D3492" s="3">
        <v>2</v>
      </c>
      <c r="E3492" s="3">
        <v>2</v>
      </c>
      <c r="F3492" s="3">
        <v>0</v>
      </c>
      <c r="G3492" s="3">
        <v>0</v>
      </c>
    </row>
    <row r="3493" spans="1:7" x14ac:dyDescent="0.25">
      <c r="A3493" s="3" t="s">
        <v>57</v>
      </c>
      <c r="B3493" s="3" t="s">
        <v>175</v>
      </c>
      <c r="C3493" s="3">
        <v>2</v>
      </c>
      <c r="D3493" s="3">
        <v>2</v>
      </c>
      <c r="E3493" s="3">
        <v>2</v>
      </c>
      <c r="F3493" s="3">
        <v>0</v>
      </c>
      <c r="G3493" s="3">
        <v>0</v>
      </c>
    </row>
    <row r="3494" spans="1:7" x14ac:dyDescent="0.25">
      <c r="A3494" s="3" t="s">
        <v>57</v>
      </c>
      <c r="B3494" s="3" t="s">
        <v>176</v>
      </c>
      <c r="C3494" s="3">
        <v>2</v>
      </c>
      <c r="D3494" s="3">
        <v>2</v>
      </c>
      <c r="E3494" s="3">
        <v>2</v>
      </c>
      <c r="F3494" s="3">
        <v>0</v>
      </c>
      <c r="G3494" s="3">
        <v>0</v>
      </c>
    </row>
    <row r="3495" spans="1:7" x14ac:dyDescent="0.25">
      <c r="A3495" s="3" t="s">
        <v>40</v>
      </c>
      <c r="B3495" s="3" t="s">
        <v>175</v>
      </c>
      <c r="C3495" s="3">
        <v>10</v>
      </c>
      <c r="D3495" s="3">
        <v>7</v>
      </c>
      <c r="E3495" s="3">
        <v>5</v>
      </c>
      <c r="F3495" s="3">
        <v>2</v>
      </c>
      <c r="G3495" s="3">
        <v>0</v>
      </c>
    </row>
    <row r="3496" spans="1:7" x14ac:dyDescent="0.25">
      <c r="A3496" s="3" t="s">
        <v>40</v>
      </c>
      <c r="B3496" s="3" t="s">
        <v>11</v>
      </c>
      <c r="C3496" s="3">
        <v>1</v>
      </c>
      <c r="D3496" s="3">
        <v>1</v>
      </c>
      <c r="E3496" s="3">
        <v>1</v>
      </c>
      <c r="F3496" s="3">
        <v>0</v>
      </c>
      <c r="G3496" s="3">
        <v>0</v>
      </c>
    </row>
    <row r="3497" spans="1:7" x14ac:dyDescent="0.25">
      <c r="A3497" s="3" t="s">
        <v>40</v>
      </c>
      <c r="B3497" s="3" t="s">
        <v>176</v>
      </c>
      <c r="C3497" s="3">
        <v>7</v>
      </c>
      <c r="D3497" s="3">
        <v>7</v>
      </c>
      <c r="E3497" s="3">
        <v>6</v>
      </c>
      <c r="F3497" s="3">
        <v>1</v>
      </c>
      <c r="G3497" s="3">
        <v>0</v>
      </c>
    </row>
    <row r="3498" spans="1:7" x14ac:dyDescent="0.25">
      <c r="A3498" s="3" t="s">
        <v>40</v>
      </c>
      <c r="B3498" s="3" t="s">
        <v>174</v>
      </c>
      <c r="C3498" s="3">
        <v>5</v>
      </c>
      <c r="D3498" s="3">
        <v>5</v>
      </c>
      <c r="E3498" s="3">
        <v>5</v>
      </c>
      <c r="F3498" s="3">
        <v>0</v>
      </c>
      <c r="G3498" s="3">
        <v>0</v>
      </c>
    </row>
    <row r="3499" spans="1:7" x14ac:dyDescent="0.25">
      <c r="A3499" s="3" t="s">
        <v>41</v>
      </c>
      <c r="B3499" s="3" t="s">
        <v>175</v>
      </c>
      <c r="C3499" s="3">
        <v>1</v>
      </c>
      <c r="D3499" s="3">
        <v>1</v>
      </c>
      <c r="E3499" s="3">
        <v>1</v>
      </c>
      <c r="F3499" s="3">
        <v>0</v>
      </c>
      <c r="G3499" s="3">
        <v>0</v>
      </c>
    </row>
    <row r="3500" spans="1:7" x14ac:dyDescent="0.25">
      <c r="A3500" s="3" t="s">
        <v>41</v>
      </c>
      <c r="B3500" s="3" t="s">
        <v>176</v>
      </c>
      <c r="C3500" s="3">
        <v>2</v>
      </c>
      <c r="D3500" s="3">
        <v>2</v>
      </c>
      <c r="E3500" s="3">
        <v>2</v>
      </c>
      <c r="F3500" s="3">
        <v>0</v>
      </c>
      <c r="G3500" s="3">
        <v>0</v>
      </c>
    </row>
    <row r="3501" spans="1:7" x14ac:dyDescent="0.25">
      <c r="A3501" s="3" t="s">
        <v>102</v>
      </c>
      <c r="B3501" s="3" t="s">
        <v>174</v>
      </c>
      <c r="C3501" s="3">
        <v>2</v>
      </c>
      <c r="D3501" s="3">
        <v>2</v>
      </c>
      <c r="E3501" s="3">
        <v>2</v>
      </c>
      <c r="F3501" s="3">
        <v>0</v>
      </c>
      <c r="G3501" s="3">
        <v>0</v>
      </c>
    </row>
    <row r="3502" spans="1:7" x14ac:dyDescent="0.25">
      <c r="A3502" s="3" t="s">
        <v>102</v>
      </c>
      <c r="B3502" s="3" t="s">
        <v>175</v>
      </c>
      <c r="C3502" s="3">
        <v>5</v>
      </c>
      <c r="D3502" s="3">
        <v>5</v>
      </c>
      <c r="E3502" s="3">
        <v>4</v>
      </c>
      <c r="F3502" s="3">
        <v>1</v>
      </c>
      <c r="G3502" s="3">
        <v>0</v>
      </c>
    </row>
    <row r="3503" spans="1:7" x14ac:dyDescent="0.25">
      <c r="A3503" s="3" t="s">
        <v>148</v>
      </c>
      <c r="B3503" s="3" t="s">
        <v>3</v>
      </c>
      <c r="C3503" s="3">
        <v>1</v>
      </c>
      <c r="D3503" s="3">
        <v>1</v>
      </c>
      <c r="E3503" s="3">
        <v>1</v>
      </c>
      <c r="F3503" s="3">
        <v>0</v>
      </c>
      <c r="G3503" s="3">
        <v>0</v>
      </c>
    </row>
    <row r="3504" spans="1:7" x14ac:dyDescent="0.25">
      <c r="A3504" s="3" t="s">
        <v>148</v>
      </c>
      <c r="B3504" s="3" t="s">
        <v>174</v>
      </c>
      <c r="C3504" s="3">
        <v>7</v>
      </c>
      <c r="D3504" s="3">
        <v>7</v>
      </c>
      <c r="E3504" s="3">
        <v>6</v>
      </c>
      <c r="F3504" s="3">
        <v>1</v>
      </c>
      <c r="G3504" s="3">
        <v>0</v>
      </c>
    </row>
    <row r="3505" spans="1:7" x14ac:dyDescent="0.25">
      <c r="A3505" s="3" t="s">
        <v>148</v>
      </c>
      <c r="B3505" s="3" t="s">
        <v>175</v>
      </c>
      <c r="C3505" s="3">
        <v>18</v>
      </c>
      <c r="D3505" s="3">
        <v>17</v>
      </c>
      <c r="E3505" s="3">
        <v>15</v>
      </c>
      <c r="F3505" s="3">
        <v>2</v>
      </c>
      <c r="G3505" s="3">
        <v>0</v>
      </c>
    </row>
    <row r="3506" spans="1:7" x14ac:dyDescent="0.25">
      <c r="A3506" s="3" t="s">
        <v>148</v>
      </c>
      <c r="B3506" s="3" t="s">
        <v>11</v>
      </c>
      <c r="C3506" s="3">
        <v>7</v>
      </c>
      <c r="D3506" s="3">
        <v>7</v>
      </c>
      <c r="E3506" s="3">
        <v>5</v>
      </c>
      <c r="F3506" s="3">
        <v>2</v>
      </c>
      <c r="G3506" s="3">
        <v>0</v>
      </c>
    </row>
    <row r="3507" spans="1:7" x14ac:dyDescent="0.25">
      <c r="A3507" s="3" t="s">
        <v>148</v>
      </c>
      <c r="B3507" s="3" t="s">
        <v>176</v>
      </c>
      <c r="C3507" s="3">
        <v>4</v>
      </c>
      <c r="D3507" s="3">
        <v>4</v>
      </c>
      <c r="E3507" s="3">
        <v>4</v>
      </c>
      <c r="F3507" s="3">
        <v>0</v>
      </c>
      <c r="G3507" s="3">
        <v>0</v>
      </c>
    </row>
    <row r="3508" spans="1:7" x14ac:dyDescent="0.25">
      <c r="A3508" s="3" t="s">
        <v>135</v>
      </c>
      <c r="B3508" s="3" t="s">
        <v>175</v>
      </c>
      <c r="C3508" s="3">
        <v>1</v>
      </c>
      <c r="D3508" s="3">
        <v>0</v>
      </c>
      <c r="E3508" s="3">
        <v>0</v>
      </c>
      <c r="F3508" s="3">
        <v>0</v>
      </c>
      <c r="G3508" s="3">
        <v>0</v>
      </c>
    </row>
    <row r="3509" spans="1:7" x14ac:dyDescent="0.25">
      <c r="A3509" s="3" t="s">
        <v>135</v>
      </c>
      <c r="B3509" s="3" t="s">
        <v>11</v>
      </c>
      <c r="C3509" s="3">
        <v>3</v>
      </c>
      <c r="D3509" s="3">
        <v>3</v>
      </c>
      <c r="E3509" s="3">
        <v>3</v>
      </c>
      <c r="F3509" s="3">
        <v>0</v>
      </c>
      <c r="G3509" s="3">
        <v>0</v>
      </c>
    </row>
    <row r="3510" spans="1:7" x14ac:dyDescent="0.25">
      <c r="A3510" s="3" t="s">
        <v>135</v>
      </c>
      <c r="B3510" s="3" t="s">
        <v>176</v>
      </c>
      <c r="C3510" s="3">
        <v>5</v>
      </c>
      <c r="D3510" s="3">
        <v>5</v>
      </c>
      <c r="E3510" s="3">
        <v>5</v>
      </c>
      <c r="F3510" s="3">
        <v>0</v>
      </c>
      <c r="G3510" s="3">
        <v>0</v>
      </c>
    </row>
    <row r="3511" spans="1:7" x14ac:dyDescent="0.25">
      <c r="A3511" s="3" t="s">
        <v>135</v>
      </c>
      <c r="B3511" s="3" t="s">
        <v>174</v>
      </c>
      <c r="C3511" s="3">
        <v>6</v>
      </c>
      <c r="D3511" s="3">
        <v>6</v>
      </c>
      <c r="E3511" s="3">
        <v>6</v>
      </c>
      <c r="F3511" s="3">
        <v>0</v>
      </c>
      <c r="G3511" s="3">
        <v>0</v>
      </c>
    </row>
    <row r="3512" spans="1:7" x14ac:dyDescent="0.25">
      <c r="A3512" s="3" t="s">
        <v>34</v>
      </c>
      <c r="B3512" s="3" t="s">
        <v>11</v>
      </c>
      <c r="C3512" s="3">
        <v>2</v>
      </c>
      <c r="D3512" s="3">
        <v>2</v>
      </c>
      <c r="E3512" s="3">
        <v>1</v>
      </c>
      <c r="F3512" s="3">
        <v>1</v>
      </c>
      <c r="G3512" s="3">
        <v>0</v>
      </c>
    </row>
    <row r="3513" spans="1:7" x14ac:dyDescent="0.25">
      <c r="A3513" s="3" t="s">
        <v>34</v>
      </c>
      <c r="B3513" s="3" t="s">
        <v>175</v>
      </c>
      <c r="C3513" s="3">
        <v>2</v>
      </c>
      <c r="D3513" s="3">
        <v>2</v>
      </c>
      <c r="E3513" s="3">
        <v>2</v>
      </c>
      <c r="F3513" s="3">
        <v>0</v>
      </c>
      <c r="G3513" s="3">
        <v>0</v>
      </c>
    </row>
    <row r="3514" spans="1:7" x14ac:dyDescent="0.25">
      <c r="A3514" s="3" t="s">
        <v>34</v>
      </c>
      <c r="B3514" s="3" t="s">
        <v>176</v>
      </c>
      <c r="C3514" s="3">
        <v>8</v>
      </c>
      <c r="D3514" s="3">
        <v>8</v>
      </c>
      <c r="E3514" s="3">
        <v>8</v>
      </c>
      <c r="F3514" s="3">
        <v>0</v>
      </c>
      <c r="G3514" s="3">
        <v>0</v>
      </c>
    </row>
    <row r="3515" spans="1:7" x14ac:dyDescent="0.25">
      <c r="A3515" s="3" t="s">
        <v>145</v>
      </c>
      <c r="B3515" s="3" t="s">
        <v>11</v>
      </c>
      <c r="C3515" s="3">
        <v>3</v>
      </c>
      <c r="D3515" s="3">
        <v>3</v>
      </c>
      <c r="E3515" s="3">
        <v>3</v>
      </c>
      <c r="F3515" s="3">
        <v>0</v>
      </c>
      <c r="G3515" s="3">
        <v>0</v>
      </c>
    </row>
    <row r="3516" spans="1:7" x14ac:dyDescent="0.25">
      <c r="A3516" s="3" t="s">
        <v>145</v>
      </c>
      <c r="B3516" s="3" t="s">
        <v>176</v>
      </c>
      <c r="C3516" s="3">
        <v>18</v>
      </c>
      <c r="D3516" s="3">
        <v>15</v>
      </c>
      <c r="E3516" s="3">
        <v>13</v>
      </c>
      <c r="F3516" s="3">
        <v>2</v>
      </c>
      <c r="G3516" s="3">
        <v>0</v>
      </c>
    </row>
    <row r="3517" spans="1:7" x14ac:dyDescent="0.25">
      <c r="A3517" s="3" t="s">
        <v>145</v>
      </c>
      <c r="B3517" s="3" t="s">
        <v>175</v>
      </c>
      <c r="C3517" s="3">
        <v>6</v>
      </c>
      <c r="D3517" s="3">
        <v>6</v>
      </c>
      <c r="E3517" s="3">
        <v>6</v>
      </c>
      <c r="F3517" s="3">
        <v>0</v>
      </c>
      <c r="G3517" s="3">
        <v>0</v>
      </c>
    </row>
    <row r="3518" spans="1:7" x14ac:dyDescent="0.25">
      <c r="A3518" s="3" t="s">
        <v>145</v>
      </c>
      <c r="B3518" s="3" t="s">
        <v>174</v>
      </c>
      <c r="C3518" s="3">
        <v>7</v>
      </c>
      <c r="D3518" s="3">
        <v>7</v>
      </c>
      <c r="E3518" s="3">
        <v>6</v>
      </c>
      <c r="F3518" s="3">
        <v>1</v>
      </c>
      <c r="G3518" s="3">
        <v>0</v>
      </c>
    </row>
    <row r="3519" spans="1:7" x14ac:dyDescent="0.25">
      <c r="A3519" s="3" t="s">
        <v>42</v>
      </c>
      <c r="B3519" s="3" t="s">
        <v>175</v>
      </c>
      <c r="C3519" s="3">
        <v>11</v>
      </c>
      <c r="D3519" s="3">
        <v>11</v>
      </c>
      <c r="E3519" s="3">
        <v>10</v>
      </c>
      <c r="F3519" s="3">
        <v>1</v>
      </c>
      <c r="G3519" s="3">
        <v>0</v>
      </c>
    </row>
    <row r="3520" spans="1:7" x14ac:dyDescent="0.25">
      <c r="A3520" s="3" t="s">
        <v>42</v>
      </c>
      <c r="B3520" s="3" t="s">
        <v>174</v>
      </c>
      <c r="C3520" s="3">
        <v>7</v>
      </c>
      <c r="D3520" s="3">
        <v>7</v>
      </c>
      <c r="E3520" s="3">
        <v>5</v>
      </c>
      <c r="F3520" s="3">
        <v>2</v>
      </c>
      <c r="G3520" s="3">
        <v>0</v>
      </c>
    </row>
    <row r="3521" spans="1:7" x14ac:dyDescent="0.25">
      <c r="A3521" s="3" t="s">
        <v>42</v>
      </c>
      <c r="B3521" s="3" t="s">
        <v>176</v>
      </c>
      <c r="C3521" s="3">
        <v>7</v>
      </c>
      <c r="D3521" s="3">
        <v>7</v>
      </c>
      <c r="E3521" s="3">
        <v>5</v>
      </c>
      <c r="F3521" s="3">
        <v>2</v>
      </c>
      <c r="G3521" s="3">
        <v>0</v>
      </c>
    </row>
    <row r="3522" spans="1:7" x14ac:dyDescent="0.25">
      <c r="A3522" s="3" t="s">
        <v>58</v>
      </c>
      <c r="B3522" s="3" t="s">
        <v>176</v>
      </c>
      <c r="C3522" s="3">
        <v>7</v>
      </c>
      <c r="D3522" s="3">
        <v>5</v>
      </c>
      <c r="E3522" s="3">
        <v>5</v>
      </c>
      <c r="F3522" s="3">
        <v>0</v>
      </c>
      <c r="G3522" s="3">
        <v>0</v>
      </c>
    </row>
    <row r="3523" spans="1:7" x14ac:dyDescent="0.25">
      <c r="A3523" s="3" t="s">
        <v>58</v>
      </c>
      <c r="B3523" s="3" t="s">
        <v>11</v>
      </c>
      <c r="C3523" s="3">
        <v>5</v>
      </c>
      <c r="D3523" s="3">
        <v>5</v>
      </c>
      <c r="E3523" s="3">
        <v>5</v>
      </c>
      <c r="F3523" s="3">
        <v>0</v>
      </c>
      <c r="G3523" s="3">
        <v>0</v>
      </c>
    </row>
    <row r="3524" spans="1:7" x14ac:dyDescent="0.25">
      <c r="A3524" s="3" t="s">
        <v>58</v>
      </c>
      <c r="B3524" s="3" t="s">
        <v>174</v>
      </c>
      <c r="C3524" s="3">
        <v>6</v>
      </c>
      <c r="D3524" s="3">
        <v>6</v>
      </c>
      <c r="E3524" s="3">
        <v>4</v>
      </c>
      <c r="F3524" s="3">
        <v>2</v>
      </c>
      <c r="G3524" s="3">
        <v>0</v>
      </c>
    </row>
    <row r="3525" spans="1:7" x14ac:dyDescent="0.25">
      <c r="A3525" s="3" t="s">
        <v>58</v>
      </c>
      <c r="B3525" s="3" t="s">
        <v>175</v>
      </c>
      <c r="C3525" s="3">
        <v>5</v>
      </c>
      <c r="D3525" s="3">
        <v>4</v>
      </c>
      <c r="E3525" s="3">
        <v>2</v>
      </c>
      <c r="F3525" s="3">
        <v>2</v>
      </c>
      <c r="G3525" s="3">
        <v>1</v>
      </c>
    </row>
    <row r="3526" spans="1:7" x14ac:dyDescent="0.25">
      <c r="A3526" s="3" t="s">
        <v>144</v>
      </c>
      <c r="B3526" s="3" t="s">
        <v>174</v>
      </c>
      <c r="C3526" s="3">
        <v>7</v>
      </c>
      <c r="D3526" s="3">
        <v>7</v>
      </c>
      <c r="E3526" s="3">
        <v>7</v>
      </c>
      <c r="F3526" s="3">
        <v>0</v>
      </c>
      <c r="G3526" s="3">
        <v>0</v>
      </c>
    </row>
    <row r="3527" spans="1:7" x14ac:dyDescent="0.25">
      <c r="A3527" s="3" t="s">
        <v>144</v>
      </c>
      <c r="B3527" s="3" t="s">
        <v>11</v>
      </c>
      <c r="C3527" s="3">
        <v>7</v>
      </c>
      <c r="D3527" s="3">
        <v>7</v>
      </c>
      <c r="E3527" s="3">
        <v>4</v>
      </c>
      <c r="F3527" s="3">
        <v>3</v>
      </c>
      <c r="G3527" s="3">
        <v>0</v>
      </c>
    </row>
    <row r="3528" spans="1:7" x14ac:dyDescent="0.25">
      <c r="A3528" s="3" t="s">
        <v>144</v>
      </c>
      <c r="B3528" s="3" t="s">
        <v>175</v>
      </c>
      <c r="C3528" s="3">
        <v>11</v>
      </c>
      <c r="D3528" s="3">
        <v>11</v>
      </c>
      <c r="E3528" s="3">
        <v>8</v>
      </c>
      <c r="F3528" s="3">
        <v>3</v>
      </c>
      <c r="G3528" s="3">
        <v>0</v>
      </c>
    </row>
    <row r="3529" spans="1:7" x14ac:dyDescent="0.25">
      <c r="A3529" s="3" t="s">
        <v>144</v>
      </c>
      <c r="B3529" s="3" t="s">
        <v>176</v>
      </c>
      <c r="C3529" s="3">
        <v>6</v>
      </c>
      <c r="D3529" s="3">
        <v>6</v>
      </c>
      <c r="E3529" s="3">
        <v>6</v>
      </c>
      <c r="F3529" s="3">
        <v>0</v>
      </c>
      <c r="G3529" s="3">
        <v>0</v>
      </c>
    </row>
    <row r="3530" spans="1:7" x14ac:dyDescent="0.25">
      <c r="A3530" s="3" t="s">
        <v>28</v>
      </c>
      <c r="B3530" s="3" t="s">
        <v>176</v>
      </c>
      <c r="C3530" s="3">
        <v>3</v>
      </c>
      <c r="D3530" s="3">
        <v>3</v>
      </c>
      <c r="E3530" s="3">
        <v>2</v>
      </c>
      <c r="F3530" s="3">
        <v>1</v>
      </c>
      <c r="G3530" s="3">
        <v>0</v>
      </c>
    </row>
    <row r="3531" spans="1:7" x14ac:dyDescent="0.25">
      <c r="A3531" s="3" t="s">
        <v>28</v>
      </c>
      <c r="B3531" s="3" t="s">
        <v>11</v>
      </c>
      <c r="C3531" s="3">
        <v>2</v>
      </c>
      <c r="D3531" s="3">
        <v>2</v>
      </c>
      <c r="E3531" s="3">
        <v>1</v>
      </c>
      <c r="F3531" s="3">
        <v>1</v>
      </c>
      <c r="G3531" s="3">
        <v>0</v>
      </c>
    </row>
    <row r="3532" spans="1:7" x14ac:dyDescent="0.25">
      <c r="A3532" s="3" t="s">
        <v>28</v>
      </c>
      <c r="B3532" s="3" t="s">
        <v>175</v>
      </c>
      <c r="C3532" s="3">
        <v>14</v>
      </c>
      <c r="D3532" s="3">
        <v>14</v>
      </c>
      <c r="E3532" s="3">
        <v>13</v>
      </c>
      <c r="F3532" s="3">
        <v>1</v>
      </c>
      <c r="G3532" s="3">
        <v>0</v>
      </c>
    </row>
    <row r="3533" spans="1:7" x14ac:dyDescent="0.25">
      <c r="A3533" s="3" t="s">
        <v>28</v>
      </c>
      <c r="B3533" s="3" t="s">
        <v>174</v>
      </c>
      <c r="C3533" s="3">
        <v>3</v>
      </c>
      <c r="D3533" s="3">
        <v>3</v>
      </c>
      <c r="E3533" s="3">
        <v>3</v>
      </c>
      <c r="F3533" s="3">
        <v>0</v>
      </c>
      <c r="G3533" s="3">
        <v>0</v>
      </c>
    </row>
    <row r="3534" spans="1:7" x14ac:dyDescent="0.25">
      <c r="A3534" s="3" t="s">
        <v>118</v>
      </c>
      <c r="B3534" s="3" t="s">
        <v>11</v>
      </c>
      <c r="C3534" s="3">
        <v>1</v>
      </c>
      <c r="D3534" s="3">
        <v>1</v>
      </c>
      <c r="E3534" s="3">
        <v>1</v>
      </c>
      <c r="F3534" s="3">
        <v>0</v>
      </c>
      <c r="G3534" s="3">
        <v>0</v>
      </c>
    </row>
    <row r="3535" spans="1:7" x14ac:dyDescent="0.25">
      <c r="A3535" s="3" t="s">
        <v>118</v>
      </c>
      <c r="B3535" s="3" t="s">
        <v>174</v>
      </c>
      <c r="C3535" s="3">
        <v>7</v>
      </c>
      <c r="D3535" s="3">
        <v>6</v>
      </c>
      <c r="E3535" s="3">
        <v>4</v>
      </c>
      <c r="F3535" s="3">
        <v>2</v>
      </c>
      <c r="G3535" s="3">
        <v>0</v>
      </c>
    </row>
    <row r="3536" spans="1:7" x14ac:dyDescent="0.25">
      <c r="A3536" s="3" t="s">
        <v>118</v>
      </c>
      <c r="B3536" s="3" t="s">
        <v>175</v>
      </c>
      <c r="C3536" s="3">
        <v>2</v>
      </c>
      <c r="D3536" s="3">
        <v>2</v>
      </c>
      <c r="E3536" s="3">
        <v>2</v>
      </c>
      <c r="F3536" s="3">
        <v>0</v>
      </c>
      <c r="G3536" s="3">
        <v>0</v>
      </c>
    </row>
    <row r="3537" spans="1:13" x14ac:dyDescent="0.25">
      <c r="A3537" s="3" t="s">
        <v>125</v>
      </c>
      <c r="B3537" s="3" t="s">
        <v>175</v>
      </c>
      <c r="C3537" s="3">
        <v>2</v>
      </c>
      <c r="D3537" s="3">
        <v>2</v>
      </c>
      <c r="E3537" s="3">
        <v>1</v>
      </c>
      <c r="F3537" s="3">
        <v>1</v>
      </c>
      <c r="G3537" s="3">
        <v>0</v>
      </c>
    </row>
    <row r="3538" spans="1:13" x14ac:dyDescent="0.25">
      <c r="A3538" s="3" t="s">
        <v>87</v>
      </c>
      <c r="B3538" s="3" t="s">
        <v>174</v>
      </c>
      <c r="C3538" s="3">
        <v>2</v>
      </c>
      <c r="D3538" s="3">
        <v>2</v>
      </c>
      <c r="E3538" s="3">
        <v>2</v>
      </c>
      <c r="F3538" s="3">
        <v>0</v>
      </c>
      <c r="G3538" s="3">
        <v>0</v>
      </c>
      <c r="I3538">
        <f>+SUM(C3456:C3538)</f>
        <v>596</v>
      </c>
      <c r="J3538">
        <f t="shared" ref="J3538:M3538" si="4">+SUM(D3456:D3538)</f>
        <v>577</v>
      </c>
      <c r="K3538">
        <f t="shared" si="4"/>
        <v>464</v>
      </c>
      <c r="L3538">
        <f t="shared" si="4"/>
        <v>113</v>
      </c>
      <c r="M3538">
        <f t="shared" si="4"/>
        <v>2</v>
      </c>
    </row>
    <row r="3539" spans="1:13" x14ac:dyDescent="0.25">
      <c r="A3539" s="3" t="s">
        <v>87</v>
      </c>
      <c r="B3539" s="3" t="s">
        <v>175</v>
      </c>
      <c r="C3539" s="3">
        <v>4</v>
      </c>
      <c r="D3539" s="3">
        <v>4</v>
      </c>
      <c r="E3539" s="3">
        <v>3</v>
      </c>
      <c r="F3539" s="3">
        <v>1</v>
      </c>
      <c r="G3539" s="3">
        <v>0</v>
      </c>
    </row>
    <row r="3540" spans="1:13" x14ac:dyDescent="0.25">
      <c r="A3540" s="3" t="s">
        <v>155</v>
      </c>
      <c r="B3540" s="3" t="s">
        <v>11</v>
      </c>
      <c r="C3540" s="3">
        <v>11</v>
      </c>
      <c r="D3540" s="3">
        <v>11</v>
      </c>
      <c r="E3540" s="3">
        <v>9</v>
      </c>
      <c r="F3540" s="3">
        <v>2</v>
      </c>
      <c r="G3540" s="3">
        <v>0</v>
      </c>
    </row>
    <row r="3541" spans="1:13" x14ac:dyDescent="0.25">
      <c r="A3541" s="3" t="s">
        <v>155</v>
      </c>
      <c r="B3541" s="3" t="s">
        <v>175</v>
      </c>
      <c r="C3541" s="3">
        <v>28</v>
      </c>
      <c r="D3541" s="3">
        <v>27</v>
      </c>
      <c r="E3541" s="3">
        <v>24</v>
      </c>
      <c r="F3541" s="3">
        <v>3</v>
      </c>
      <c r="G3541" s="3">
        <v>0</v>
      </c>
    </row>
    <row r="3542" spans="1:13" x14ac:dyDescent="0.25">
      <c r="A3542" s="3" t="s">
        <v>155</v>
      </c>
      <c r="B3542" s="3" t="s">
        <v>176</v>
      </c>
      <c r="C3542" s="3">
        <v>18</v>
      </c>
      <c r="D3542" s="3">
        <v>18</v>
      </c>
      <c r="E3542" s="3">
        <v>15</v>
      </c>
      <c r="F3542" s="3">
        <v>3</v>
      </c>
      <c r="G3542" s="3">
        <v>0</v>
      </c>
    </row>
    <row r="3543" spans="1:13" x14ac:dyDescent="0.25">
      <c r="A3543" s="3" t="s">
        <v>155</v>
      </c>
      <c r="B3543" s="3" t="s">
        <v>174</v>
      </c>
      <c r="C3543" s="3">
        <v>20</v>
      </c>
      <c r="D3543" s="3">
        <v>20</v>
      </c>
      <c r="E3543" s="3">
        <v>18</v>
      </c>
      <c r="F3543" s="3">
        <v>2</v>
      </c>
      <c r="G3543" s="3">
        <v>0</v>
      </c>
    </row>
    <row r="3544" spans="1:13" x14ac:dyDescent="0.25">
      <c r="A3544" s="3" t="s">
        <v>81</v>
      </c>
      <c r="B3544" s="3" t="s">
        <v>174</v>
      </c>
      <c r="C3544" s="3">
        <v>1</v>
      </c>
      <c r="D3544" s="3">
        <v>1</v>
      </c>
      <c r="E3544" s="3">
        <v>1</v>
      </c>
      <c r="F3544" s="3">
        <v>0</v>
      </c>
      <c r="G3544" s="3">
        <v>0</v>
      </c>
    </row>
    <row r="3545" spans="1:13" x14ac:dyDescent="0.25">
      <c r="A3545" s="3" t="s">
        <v>81</v>
      </c>
      <c r="B3545" s="3" t="s">
        <v>176</v>
      </c>
      <c r="C3545" s="3">
        <v>1</v>
      </c>
      <c r="D3545" s="3">
        <v>1</v>
      </c>
      <c r="E3545" s="3">
        <v>1</v>
      </c>
      <c r="F3545" s="3">
        <v>0</v>
      </c>
      <c r="G3545" s="3">
        <v>0</v>
      </c>
    </row>
    <row r="3546" spans="1:13" x14ac:dyDescent="0.25">
      <c r="A3546" s="3" t="s">
        <v>81</v>
      </c>
      <c r="B3546" s="3" t="s">
        <v>175</v>
      </c>
      <c r="C3546" s="3">
        <v>2</v>
      </c>
      <c r="D3546" s="3">
        <v>2</v>
      </c>
      <c r="E3546" s="3">
        <v>2</v>
      </c>
      <c r="F3546" s="3">
        <v>0</v>
      </c>
      <c r="G3546" s="3">
        <v>0</v>
      </c>
    </row>
    <row r="3547" spans="1:13" x14ac:dyDescent="0.25">
      <c r="A3547" s="3" t="s">
        <v>66</v>
      </c>
      <c r="B3547" s="3" t="s">
        <v>174</v>
      </c>
      <c r="C3547" s="3">
        <v>6</v>
      </c>
      <c r="D3547" s="3">
        <v>6</v>
      </c>
      <c r="E3547" s="3">
        <v>6</v>
      </c>
      <c r="F3547" s="3">
        <v>0</v>
      </c>
      <c r="G3547" s="3">
        <v>0</v>
      </c>
    </row>
    <row r="3548" spans="1:13" x14ac:dyDescent="0.25">
      <c r="A3548" s="3" t="s">
        <v>66</v>
      </c>
      <c r="B3548" s="3" t="s">
        <v>175</v>
      </c>
      <c r="C3548" s="3">
        <v>11</v>
      </c>
      <c r="D3548" s="3">
        <v>10</v>
      </c>
      <c r="E3548" s="3">
        <v>8</v>
      </c>
      <c r="F3548" s="3">
        <v>2</v>
      </c>
      <c r="G3548" s="3">
        <v>2</v>
      </c>
    </row>
    <row r="3549" spans="1:13" x14ac:dyDescent="0.25">
      <c r="A3549" s="3" t="s">
        <v>66</v>
      </c>
      <c r="B3549" s="3" t="s">
        <v>176</v>
      </c>
      <c r="C3549" s="3">
        <v>4</v>
      </c>
      <c r="D3549" s="3">
        <v>4</v>
      </c>
      <c r="E3549" s="3">
        <v>4</v>
      </c>
      <c r="F3549" s="3">
        <v>0</v>
      </c>
      <c r="G3549" s="3">
        <v>0</v>
      </c>
    </row>
    <row r="3550" spans="1:13" x14ac:dyDescent="0.25">
      <c r="A3550" s="3" t="s">
        <v>66</v>
      </c>
      <c r="B3550" s="3" t="s">
        <v>11</v>
      </c>
      <c r="C3550" s="3">
        <v>1</v>
      </c>
      <c r="D3550" s="3">
        <v>1</v>
      </c>
      <c r="E3550" s="3">
        <v>1</v>
      </c>
      <c r="F3550" s="3">
        <v>0</v>
      </c>
      <c r="G3550" s="3">
        <v>0</v>
      </c>
    </row>
    <row r="3551" spans="1:13" x14ac:dyDescent="0.25">
      <c r="A3551" s="3" t="s">
        <v>171</v>
      </c>
      <c r="B3551" s="3" t="s">
        <v>174</v>
      </c>
      <c r="C3551" s="3">
        <v>1</v>
      </c>
      <c r="D3551" s="3">
        <v>1</v>
      </c>
      <c r="E3551" s="3">
        <v>1</v>
      </c>
      <c r="F3551" s="3">
        <v>0</v>
      </c>
      <c r="G3551" s="3">
        <v>0</v>
      </c>
    </row>
    <row r="3552" spans="1:13" x14ac:dyDescent="0.25">
      <c r="A3552" s="3" t="s">
        <v>171</v>
      </c>
      <c r="B3552" s="3" t="s">
        <v>175</v>
      </c>
      <c r="C3552" s="3">
        <v>5</v>
      </c>
      <c r="D3552" s="3">
        <v>5</v>
      </c>
      <c r="E3552" s="3">
        <v>2</v>
      </c>
      <c r="F3552" s="3">
        <v>3</v>
      </c>
      <c r="G3552" s="3">
        <v>0</v>
      </c>
    </row>
    <row r="3553" spans="1:7" x14ac:dyDescent="0.25">
      <c r="A3553" s="3" t="s">
        <v>43</v>
      </c>
      <c r="B3553" s="3" t="s">
        <v>176</v>
      </c>
      <c r="C3553" s="3">
        <v>3</v>
      </c>
      <c r="D3553" s="3">
        <v>3</v>
      </c>
      <c r="E3553" s="3">
        <v>2</v>
      </c>
      <c r="F3553" s="3">
        <v>1</v>
      </c>
      <c r="G3553" s="3">
        <v>0</v>
      </c>
    </row>
    <row r="3554" spans="1:7" x14ac:dyDescent="0.25">
      <c r="A3554" s="3" t="s">
        <v>43</v>
      </c>
      <c r="B3554" s="3" t="s">
        <v>175</v>
      </c>
      <c r="C3554" s="3">
        <v>1</v>
      </c>
      <c r="D3554" s="3">
        <v>0</v>
      </c>
      <c r="E3554" s="3">
        <v>0</v>
      </c>
      <c r="F3554" s="3">
        <v>0</v>
      </c>
      <c r="G3554" s="3">
        <v>0</v>
      </c>
    </row>
    <row r="3555" spans="1:7" x14ac:dyDescent="0.25">
      <c r="A3555" s="3" t="s">
        <v>111</v>
      </c>
      <c r="B3555" s="3" t="s">
        <v>11</v>
      </c>
      <c r="C3555" s="3">
        <v>4</v>
      </c>
      <c r="D3555" s="3">
        <v>4</v>
      </c>
      <c r="E3555" s="3">
        <v>3</v>
      </c>
      <c r="F3555" s="3">
        <v>1</v>
      </c>
      <c r="G3555" s="3">
        <v>0</v>
      </c>
    </row>
    <row r="3556" spans="1:7" x14ac:dyDescent="0.25">
      <c r="A3556" s="3" t="s">
        <v>111</v>
      </c>
      <c r="B3556" s="3" t="s">
        <v>175</v>
      </c>
      <c r="C3556" s="3">
        <v>4</v>
      </c>
      <c r="D3556" s="3">
        <v>2</v>
      </c>
      <c r="E3556" s="3">
        <v>2</v>
      </c>
      <c r="F3556" s="3">
        <v>0</v>
      </c>
      <c r="G3556" s="3">
        <v>0</v>
      </c>
    </row>
    <row r="3557" spans="1:7" x14ac:dyDescent="0.25">
      <c r="A3557" s="3" t="s">
        <v>111</v>
      </c>
      <c r="B3557" s="3" t="s">
        <v>176</v>
      </c>
      <c r="C3557" s="3">
        <v>5</v>
      </c>
      <c r="D3557" s="3">
        <v>5</v>
      </c>
      <c r="E3557" s="3">
        <v>2</v>
      </c>
      <c r="F3557" s="3">
        <v>3</v>
      </c>
      <c r="G3557" s="3">
        <v>0</v>
      </c>
    </row>
    <row r="3558" spans="1:7" x14ac:dyDescent="0.25">
      <c r="A3558" s="3" t="s">
        <v>111</v>
      </c>
      <c r="B3558" s="3" t="s">
        <v>174</v>
      </c>
      <c r="C3558" s="3">
        <v>3</v>
      </c>
      <c r="D3558" s="3">
        <v>3</v>
      </c>
      <c r="E3558" s="3">
        <v>2</v>
      </c>
      <c r="F3558" s="3">
        <v>1</v>
      </c>
      <c r="G3558" s="3">
        <v>0</v>
      </c>
    </row>
    <row r="3559" spans="1:7" x14ac:dyDescent="0.25">
      <c r="A3559" s="3" t="s">
        <v>35</v>
      </c>
      <c r="B3559" s="3" t="s">
        <v>175</v>
      </c>
      <c r="C3559" s="3">
        <v>6</v>
      </c>
      <c r="D3559" s="3">
        <v>6</v>
      </c>
      <c r="E3559" s="3">
        <v>6</v>
      </c>
      <c r="F3559" s="3">
        <v>0</v>
      </c>
      <c r="G3559" s="3">
        <v>0</v>
      </c>
    </row>
    <row r="3560" spans="1:7" x14ac:dyDescent="0.25">
      <c r="A3560" s="3" t="s">
        <v>35</v>
      </c>
      <c r="B3560" s="3" t="s">
        <v>176</v>
      </c>
      <c r="C3560" s="3">
        <v>14</v>
      </c>
      <c r="D3560" s="3">
        <v>14</v>
      </c>
      <c r="E3560" s="3">
        <v>14</v>
      </c>
      <c r="F3560" s="3">
        <v>0</v>
      </c>
      <c r="G3560" s="3">
        <v>0</v>
      </c>
    </row>
    <row r="3561" spans="1:7" x14ac:dyDescent="0.25">
      <c r="A3561" s="3" t="s">
        <v>35</v>
      </c>
      <c r="B3561" s="3" t="s">
        <v>11</v>
      </c>
      <c r="C3561" s="3">
        <v>3</v>
      </c>
      <c r="D3561" s="3">
        <v>3</v>
      </c>
      <c r="E3561" s="3">
        <v>3</v>
      </c>
      <c r="F3561" s="3">
        <v>0</v>
      </c>
      <c r="G3561" s="3">
        <v>0</v>
      </c>
    </row>
    <row r="3562" spans="1:7" x14ac:dyDescent="0.25">
      <c r="A3562" s="3" t="s">
        <v>35</v>
      </c>
      <c r="B3562" s="3" t="s">
        <v>174</v>
      </c>
      <c r="C3562" s="3">
        <v>7</v>
      </c>
      <c r="D3562" s="3">
        <v>7</v>
      </c>
      <c r="E3562" s="3">
        <v>7</v>
      </c>
      <c r="F3562" s="3">
        <v>0</v>
      </c>
      <c r="G3562" s="3">
        <v>0</v>
      </c>
    </row>
    <row r="3563" spans="1:7" x14ac:dyDescent="0.25">
      <c r="A3563" s="3" t="s">
        <v>163</v>
      </c>
      <c r="B3563" s="3" t="s">
        <v>176</v>
      </c>
      <c r="C3563" s="3">
        <v>6</v>
      </c>
      <c r="D3563" s="3">
        <v>6</v>
      </c>
      <c r="E3563" s="3">
        <v>6</v>
      </c>
      <c r="F3563" s="3">
        <v>0</v>
      </c>
      <c r="G3563" s="3">
        <v>0</v>
      </c>
    </row>
    <row r="3564" spans="1:7" x14ac:dyDescent="0.25">
      <c r="A3564" s="3" t="s">
        <v>163</v>
      </c>
      <c r="B3564" s="3" t="s">
        <v>174</v>
      </c>
      <c r="C3564" s="3">
        <v>4</v>
      </c>
      <c r="D3564" s="3">
        <v>4</v>
      </c>
      <c r="E3564" s="3">
        <v>4</v>
      </c>
      <c r="F3564" s="3">
        <v>0</v>
      </c>
      <c r="G3564" s="3">
        <v>0</v>
      </c>
    </row>
    <row r="3565" spans="1:7" x14ac:dyDescent="0.25">
      <c r="A3565" s="3" t="s">
        <v>163</v>
      </c>
      <c r="B3565" s="3" t="s">
        <v>175</v>
      </c>
      <c r="C3565" s="3">
        <v>10</v>
      </c>
      <c r="D3565" s="3">
        <v>10</v>
      </c>
      <c r="E3565" s="3">
        <v>9</v>
      </c>
      <c r="F3565" s="3">
        <v>1</v>
      </c>
      <c r="G3565" s="3">
        <v>0</v>
      </c>
    </row>
    <row r="3566" spans="1:7" x14ac:dyDescent="0.25">
      <c r="A3566" s="3" t="s">
        <v>163</v>
      </c>
      <c r="B3566" s="3" t="s">
        <v>11</v>
      </c>
      <c r="C3566" s="3">
        <v>2</v>
      </c>
      <c r="D3566" s="3">
        <v>2</v>
      </c>
      <c r="E3566" s="3">
        <v>2</v>
      </c>
      <c r="F3566" s="3">
        <v>0</v>
      </c>
      <c r="G3566" s="3">
        <v>0</v>
      </c>
    </row>
    <row r="3567" spans="1:7" x14ac:dyDescent="0.25">
      <c r="A3567" s="3" t="s">
        <v>113</v>
      </c>
      <c r="B3567" s="3" t="s">
        <v>175</v>
      </c>
      <c r="C3567" s="3">
        <v>3</v>
      </c>
      <c r="D3567" s="3">
        <v>3</v>
      </c>
      <c r="E3567" s="3">
        <v>1</v>
      </c>
      <c r="F3567" s="3">
        <v>2</v>
      </c>
      <c r="G3567" s="3">
        <v>0</v>
      </c>
    </row>
    <row r="3568" spans="1:7" x14ac:dyDescent="0.25">
      <c r="A3568" s="3" t="s">
        <v>113</v>
      </c>
      <c r="B3568" s="3" t="s">
        <v>176</v>
      </c>
      <c r="C3568" s="3">
        <v>1</v>
      </c>
      <c r="D3568" s="3">
        <v>1</v>
      </c>
      <c r="E3568" s="3">
        <v>1</v>
      </c>
      <c r="F3568" s="3">
        <v>0</v>
      </c>
      <c r="G3568" s="3">
        <v>0</v>
      </c>
    </row>
    <row r="3569" spans="1:7" x14ac:dyDescent="0.25">
      <c r="A3569" s="3" t="s">
        <v>160</v>
      </c>
      <c r="B3569" s="3" t="s">
        <v>11</v>
      </c>
      <c r="C3569" s="3">
        <v>2</v>
      </c>
      <c r="D3569" s="3">
        <v>2</v>
      </c>
      <c r="E3569" s="3">
        <v>2</v>
      </c>
      <c r="F3569" s="3">
        <v>0</v>
      </c>
      <c r="G3569" s="3">
        <v>0</v>
      </c>
    </row>
    <row r="3570" spans="1:7" x14ac:dyDescent="0.25">
      <c r="A3570" s="3" t="s">
        <v>160</v>
      </c>
      <c r="B3570" s="3" t="s">
        <v>174</v>
      </c>
      <c r="C3570" s="3">
        <v>4</v>
      </c>
      <c r="D3570" s="3">
        <v>4</v>
      </c>
      <c r="E3570" s="3">
        <v>4</v>
      </c>
      <c r="F3570" s="3">
        <v>0</v>
      </c>
      <c r="G3570" s="3">
        <v>0</v>
      </c>
    </row>
    <row r="3571" spans="1:7" x14ac:dyDescent="0.25">
      <c r="A3571" s="3" t="s">
        <v>160</v>
      </c>
      <c r="B3571" s="3" t="s">
        <v>176</v>
      </c>
      <c r="C3571" s="3">
        <v>9</v>
      </c>
      <c r="D3571" s="3">
        <v>9</v>
      </c>
      <c r="E3571" s="3">
        <v>8</v>
      </c>
      <c r="F3571" s="3">
        <v>1</v>
      </c>
      <c r="G3571" s="3">
        <v>0</v>
      </c>
    </row>
    <row r="3572" spans="1:7" x14ac:dyDescent="0.25">
      <c r="A3572" s="3" t="s">
        <v>160</v>
      </c>
      <c r="B3572" s="3" t="s">
        <v>175</v>
      </c>
      <c r="C3572" s="3">
        <v>5</v>
      </c>
      <c r="D3572" s="3">
        <v>5</v>
      </c>
      <c r="E3572" s="3">
        <v>2</v>
      </c>
      <c r="F3572" s="3">
        <v>3</v>
      </c>
      <c r="G3572" s="3">
        <v>0</v>
      </c>
    </row>
    <row r="3573" spans="1:7" x14ac:dyDescent="0.25">
      <c r="A3573" s="3" t="s">
        <v>36</v>
      </c>
      <c r="B3573" s="3" t="s">
        <v>174</v>
      </c>
      <c r="C3573" s="3">
        <v>2</v>
      </c>
      <c r="D3573" s="3">
        <v>2</v>
      </c>
      <c r="E3573" s="3">
        <v>2</v>
      </c>
      <c r="F3573" s="3">
        <v>0</v>
      </c>
      <c r="G3573" s="3">
        <v>0</v>
      </c>
    </row>
    <row r="3574" spans="1:7" x14ac:dyDescent="0.25">
      <c r="A3574" s="3" t="s">
        <v>36</v>
      </c>
      <c r="B3574" s="3" t="s">
        <v>176</v>
      </c>
      <c r="C3574" s="3">
        <v>1</v>
      </c>
      <c r="D3574" s="3">
        <v>1</v>
      </c>
      <c r="E3574" s="3">
        <v>1</v>
      </c>
      <c r="F3574" s="3">
        <v>0</v>
      </c>
      <c r="G3574" s="3">
        <v>0</v>
      </c>
    </row>
    <row r="3575" spans="1:7" x14ac:dyDescent="0.25">
      <c r="A3575" s="3" t="s">
        <v>36</v>
      </c>
      <c r="B3575" s="3" t="s">
        <v>11</v>
      </c>
      <c r="C3575" s="3">
        <v>2</v>
      </c>
      <c r="D3575" s="3">
        <v>2</v>
      </c>
      <c r="E3575" s="3">
        <v>2</v>
      </c>
      <c r="F3575" s="3">
        <v>0</v>
      </c>
      <c r="G3575" s="3">
        <v>0</v>
      </c>
    </row>
    <row r="3576" spans="1:7" x14ac:dyDescent="0.25">
      <c r="A3576" s="3" t="s">
        <v>36</v>
      </c>
      <c r="B3576" s="3" t="s">
        <v>175</v>
      </c>
      <c r="C3576" s="3">
        <v>5</v>
      </c>
      <c r="D3576" s="3">
        <v>5</v>
      </c>
      <c r="E3576" s="3">
        <v>5</v>
      </c>
      <c r="F3576" s="3">
        <v>0</v>
      </c>
      <c r="G3576" s="3">
        <v>0</v>
      </c>
    </row>
    <row r="3577" spans="1:7" x14ac:dyDescent="0.25">
      <c r="A3577" s="3" t="s">
        <v>164</v>
      </c>
      <c r="B3577" s="3" t="s">
        <v>175</v>
      </c>
      <c r="C3577" s="3">
        <v>4</v>
      </c>
      <c r="D3577" s="3">
        <v>4</v>
      </c>
      <c r="E3577" s="3">
        <v>1</v>
      </c>
      <c r="F3577" s="3">
        <v>3</v>
      </c>
      <c r="G3577" s="3">
        <v>0</v>
      </c>
    </row>
    <row r="3578" spans="1:7" x14ac:dyDescent="0.25">
      <c r="A3578" s="3" t="s">
        <v>164</v>
      </c>
      <c r="B3578" s="3" t="s">
        <v>11</v>
      </c>
      <c r="C3578" s="3">
        <v>3</v>
      </c>
      <c r="D3578" s="3">
        <v>3</v>
      </c>
      <c r="E3578" s="3">
        <v>3</v>
      </c>
      <c r="F3578" s="3">
        <v>0</v>
      </c>
      <c r="G3578" s="3">
        <v>0</v>
      </c>
    </row>
    <row r="3579" spans="1:7" x14ac:dyDescent="0.25">
      <c r="A3579" s="3" t="s">
        <v>164</v>
      </c>
      <c r="B3579" s="3" t="s">
        <v>176</v>
      </c>
      <c r="C3579" s="3">
        <v>3</v>
      </c>
      <c r="D3579" s="3">
        <v>3</v>
      </c>
      <c r="E3579" s="3">
        <v>3</v>
      </c>
      <c r="F3579" s="3">
        <v>0</v>
      </c>
      <c r="G3579" s="3">
        <v>0</v>
      </c>
    </row>
    <row r="3580" spans="1:7" x14ac:dyDescent="0.25">
      <c r="A3580" s="3" t="s">
        <v>105</v>
      </c>
      <c r="B3580" s="3" t="s">
        <v>174</v>
      </c>
      <c r="C3580" s="3">
        <v>1</v>
      </c>
      <c r="D3580" s="3">
        <v>1</v>
      </c>
      <c r="E3580" s="3">
        <v>1</v>
      </c>
      <c r="F3580" s="3">
        <v>0</v>
      </c>
      <c r="G3580" s="3">
        <v>0</v>
      </c>
    </row>
    <row r="3581" spans="1:7" x14ac:dyDescent="0.25">
      <c r="A3581" s="3" t="s">
        <v>105</v>
      </c>
      <c r="B3581" s="3" t="s">
        <v>176</v>
      </c>
      <c r="C3581" s="3">
        <v>3</v>
      </c>
      <c r="D3581" s="3">
        <v>3</v>
      </c>
      <c r="E3581" s="3">
        <v>3</v>
      </c>
      <c r="F3581" s="3">
        <v>0</v>
      </c>
      <c r="G3581" s="3">
        <v>0</v>
      </c>
    </row>
    <row r="3582" spans="1:7" x14ac:dyDescent="0.25">
      <c r="A3582" s="3" t="s">
        <v>105</v>
      </c>
      <c r="B3582" s="3" t="s">
        <v>175</v>
      </c>
      <c r="C3582" s="3">
        <v>2</v>
      </c>
      <c r="D3582" s="3">
        <v>0</v>
      </c>
      <c r="E3582" s="3">
        <v>0</v>
      </c>
      <c r="F3582" s="3">
        <v>0</v>
      </c>
      <c r="G3582" s="3">
        <v>0</v>
      </c>
    </row>
    <row r="3583" spans="1:7" x14ac:dyDescent="0.25">
      <c r="A3583" s="3" t="s">
        <v>172</v>
      </c>
      <c r="B3583" s="3" t="s">
        <v>175</v>
      </c>
      <c r="C3583" s="3">
        <v>3</v>
      </c>
      <c r="D3583" s="3">
        <v>3</v>
      </c>
      <c r="E3583" s="3">
        <v>3</v>
      </c>
      <c r="F3583" s="3">
        <v>0</v>
      </c>
      <c r="G3583" s="3">
        <v>0</v>
      </c>
    </row>
    <row r="3584" spans="1:7" x14ac:dyDescent="0.25">
      <c r="A3584" s="3" t="s">
        <v>172</v>
      </c>
      <c r="B3584" s="3" t="s">
        <v>176</v>
      </c>
      <c r="C3584" s="3">
        <v>3</v>
      </c>
      <c r="D3584" s="3">
        <v>3</v>
      </c>
      <c r="E3584" s="3">
        <v>3</v>
      </c>
      <c r="F3584" s="3">
        <v>0</v>
      </c>
      <c r="G3584" s="3">
        <v>0</v>
      </c>
    </row>
    <row r="3585" spans="1:7" x14ac:dyDescent="0.25">
      <c r="A3585" s="3" t="s">
        <v>172</v>
      </c>
      <c r="B3585" s="3" t="s">
        <v>174</v>
      </c>
      <c r="C3585" s="3">
        <v>2</v>
      </c>
      <c r="D3585" s="3">
        <v>2</v>
      </c>
      <c r="E3585" s="3">
        <v>2</v>
      </c>
      <c r="F3585" s="3">
        <v>0</v>
      </c>
      <c r="G3585" s="3">
        <v>0</v>
      </c>
    </row>
    <row r="3586" spans="1:7" x14ac:dyDescent="0.25">
      <c r="A3586" s="3" t="s">
        <v>138</v>
      </c>
      <c r="B3586" s="3" t="s">
        <v>174</v>
      </c>
      <c r="C3586" s="3">
        <v>7</v>
      </c>
      <c r="D3586" s="3">
        <v>7</v>
      </c>
      <c r="E3586" s="3">
        <v>7</v>
      </c>
      <c r="F3586" s="3">
        <v>0</v>
      </c>
      <c r="G3586" s="3">
        <v>0</v>
      </c>
    </row>
    <row r="3587" spans="1:7" x14ac:dyDescent="0.25">
      <c r="A3587" s="3" t="s">
        <v>138</v>
      </c>
      <c r="B3587" s="3" t="s">
        <v>176</v>
      </c>
      <c r="C3587" s="3">
        <v>1</v>
      </c>
      <c r="D3587" s="3">
        <v>1</v>
      </c>
      <c r="E3587" s="3">
        <v>1</v>
      </c>
      <c r="F3587" s="3">
        <v>0</v>
      </c>
      <c r="G3587" s="3">
        <v>0</v>
      </c>
    </row>
    <row r="3588" spans="1:7" x14ac:dyDescent="0.25">
      <c r="A3588" s="3" t="s">
        <v>138</v>
      </c>
      <c r="B3588" s="3" t="s">
        <v>11</v>
      </c>
      <c r="C3588" s="3">
        <v>4</v>
      </c>
      <c r="D3588" s="3">
        <v>4</v>
      </c>
      <c r="E3588" s="3">
        <v>3</v>
      </c>
      <c r="F3588" s="3">
        <v>1</v>
      </c>
      <c r="G3588" s="3">
        <v>0</v>
      </c>
    </row>
    <row r="3589" spans="1:7" x14ac:dyDescent="0.25">
      <c r="A3589" s="3" t="s">
        <v>138</v>
      </c>
      <c r="B3589" s="3" t="s">
        <v>175</v>
      </c>
      <c r="C3589" s="3">
        <v>3</v>
      </c>
      <c r="D3589" s="3">
        <v>3</v>
      </c>
      <c r="E3589" s="3">
        <v>3</v>
      </c>
      <c r="F3589" s="3">
        <v>0</v>
      </c>
      <c r="G3589" s="3">
        <v>0</v>
      </c>
    </row>
    <row r="3590" spans="1:7" x14ac:dyDescent="0.25">
      <c r="A3590" s="3" t="s">
        <v>55</v>
      </c>
      <c r="B3590" s="3" t="s">
        <v>176</v>
      </c>
      <c r="C3590" s="3">
        <v>21</v>
      </c>
      <c r="D3590" s="3">
        <v>21</v>
      </c>
      <c r="E3590" s="3">
        <v>17</v>
      </c>
      <c r="F3590" s="3">
        <v>4</v>
      </c>
      <c r="G3590" s="3">
        <v>0</v>
      </c>
    </row>
    <row r="3591" spans="1:7" x14ac:dyDescent="0.25">
      <c r="A3591" s="3" t="s">
        <v>55</v>
      </c>
      <c r="B3591" s="3" t="s">
        <v>175</v>
      </c>
      <c r="C3591" s="3">
        <v>11</v>
      </c>
      <c r="D3591" s="3">
        <v>11</v>
      </c>
      <c r="E3591" s="3">
        <v>11</v>
      </c>
      <c r="F3591" s="3">
        <v>0</v>
      </c>
      <c r="G3591" s="3">
        <v>0</v>
      </c>
    </row>
    <row r="3592" spans="1:7" x14ac:dyDescent="0.25">
      <c r="A3592" s="3" t="s">
        <v>55</v>
      </c>
      <c r="B3592" s="3" t="s">
        <v>11</v>
      </c>
      <c r="C3592" s="3">
        <v>4</v>
      </c>
      <c r="D3592" s="3">
        <v>4</v>
      </c>
      <c r="E3592" s="3">
        <v>3</v>
      </c>
      <c r="F3592" s="3">
        <v>1</v>
      </c>
      <c r="G3592" s="3">
        <v>0</v>
      </c>
    </row>
    <row r="3593" spans="1:7" x14ac:dyDescent="0.25">
      <c r="A3593" s="3" t="s">
        <v>55</v>
      </c>
      <c r="B3593" s="3" t="s">
        <v>174</v>
      </c>
      <c r="C3593" s="3">
        <v>5</v>
      </c>
      <c r="D3593" s="3">
        <v>5</v>
      </c>
      <c r="E3593" s="3">
        <v>5</v>
      </c>
      <c r="F3593" s="3">
        <v>0</v>
      </c>
      <c r="G3593" s="3">
        <v>0</v>
      </c>
    </row>
    <row r="3594" spans="1:7" x14ac:dyDescent="0.25">
      <c r="A3594" s="3" t="s">
        <v>82</v>
      </c>
      <c r="B3594" s="3" t="s">
        <v>175</v>
      </c>
      <c r="C3594" s="3">
        <v>5</v>
      </c>
      <c r="D3594" s="3">
        <v>5</v>
      </c>
      <c r="E3594" s="3">
        <v>5</v>
      </c>
      <c r="F3594" s="3">
        <v>0</v>
      </c>
      <c r="G3594" s="3">
        <v>0</v>
      </c>
    </row>
    <row r="3595" spans="1:7" x14ac:dyDescent="0.25">
      <c r="A3595" s="3" t="s">
        <v>117</v>
      </c>
      <c r="B3595" s="3" t="s">
        <v>174</v>
      </c>
      <c r="C3595" s="3">
        <v>1</v>
      </c>
      <c r="D3595" s="3">
        <v>1</v>
      </c>
      <c r="E3595" s="3">
        <v>1</v>
      </c>
      <c r="F3595" s="3">
        <v>0</v>
      </c>
      <c r="G3595" s="3">
        <v>0</v>
      </c>
    </row>
    <row r="3596" spans="1:7" x14ac:dyDescent="0.25">
      <c r="A3596" s="3" t="s">
        <v>117</v>
      </c>
      <c r="B3596" s="3" t="s">
        <v>175</v>
      </c>
      <c r="C3596" s="3">
        <v>3</v>
      </c>
      <c r="D3596" s="3">
        <v>3</v>
      </c>
      <c r="E3596" s="3">
        <v>1</v>
      </c>
      <c r="F3596" s="3">
        <v>2</v>
      </c>
      <c r="G3596" s="3">
        <v>0</v>
      </c>
    </row>
    <row r="3597" spans="1:7" x14ac:dyDescent="0.25">
      <c r="A3597" s="3" t="s">
        <v>117</v>
      </c>
      <c r="B3597" s="3" t="s">
        <v>11</v>
      </c>
      <c r="C3597" s="3">
        <v>1</v>
      </c>
      <c r="D3597" s="3">
        <v>1</v>
      </c>
      <c r="E3597" s="3">
        <v>1</v>
      </c>
      <c r="F3597" s="3">
        <v>0</v>
      </c>
      <c r="G3597" s="3">
        <v>0</v>
      </c>
    </row>
    <row r="3598" spans="1:7" x14ac:dyDescent="0.25">
      <c r="A3598" s="3" t="s">
        <v>151</v>
      </c>
      <c r="B3598" s="3" t="s">
        <v>11</v>
      </c>
      <c r="C3598" s="3">
        <v>4</v>
      </c>
      <c r="D3598" s="3">
        <v>4</v>
      </c>
      <c r="E3598" s="3">
        <v>3</v>
      </c>
      <c r="F3598" s="3">
        <v>1</v>
      </c>
      <c r="G3598" s="3">
        <v>0</v>
      </c>
    </row>
    <row r="3599" spans="1:7" x14ac:dyDescent="0.25">
      <c r="A3599" s="3" t="s">
        <v>151</v>
      </c>
      <c r="B3599" s="3" t="s">
        <v>176</v>
      </c>
      <c r="C3599" s="3">
        <v>15</v>
      </c>
      <c r="D3599" s="3">
        <v>15</v>
      </c>
      <c r="E3599" s="3">
        <v>11</v>
      </c>
      <c r="F3599" s="3">
        <v>4</v>
      </c>
      <c r="G3599" s="3">
        <v>0</v>
      </c>
    </row>
    <row r="3600" spans="1:7" x14ac:dyDescent="0.25">
      <c r="A3600" s="3" t="s">
        <v>151</v>
      </c>
      <c r="B3600" s="3" t="s">
        <v>174</v>
      </c>
      <c r="C3600" s="3">
        <v>5</v>
      </c>
      <c r="D3600" s="3">
        <v>5</v>
      </c>
      <c r="E3600" s="3">
        <v>4</v>
      </c>
      <c r="F3600" s="3">
        <v>1</v>
      </c>
      <c r="G3600" s="3">
        <v>0</v>
      </c>
    </row>
    <row r="3601" spans="1:7" x14ac:dyDescent="0.25">
      <c r="A3601" s="3" t="s">
        <v>151</v>
      </c>
      <c r="B3601" s="3" t="s">
        <v>175</v>
      </c>
      <c r="C3601" s="3">
        <v>8</v>
      </c>
      <c r="D3601" s="3">
        <v>7</v>
      </c>
      <c r="E3601" s="3">
        <v>5</v>
      </c>
      <c r="F3601" s="3">
        <v>2</v>
      </c>
      <c r="G3601" s="3">
        <v>0</v>
      </c>
    </row>
    <row r="3602" spans="1:7" x14ac:dyDescent="0.25">
      <c r="A3602" s="3" t="s">
        <v>83</v>
      </c>
      <c r="B3602" s="3" t="s">
        <v>174</v>
      </c>
      <c r="C3602" s="3">
        <v>1</v>
      </c>
      <c r="D3602" s="3">
        <v>1</v>
      </c>
      <c r="E3602" s="3">
        <v>1</v>
      </c>
      <c r="F3602" s="3">
        <v>0</v>
      </c>
      <c r="G3602" s="3">
        <v>0</v>
      </c>
    </row>
    <row r="3603" spans="1:7" x14ac:dyDescent="0.25">
      <c r="A3603" s="3" t="s">
        <v>83</v>
      </c>
      <c r="B3603" s="3" t="s">
        <v>176</v>
      </c>
      <c r="C3603" s="3">
        <v>3</v>
      </c>
      <c r="D3603" s="3">
        <v>3</v>
      </c>
      <c r="E3603" s="3">
        <v>2</v>
      </c>
      <c r="F3603" s="3">
        <v>1</v>
      </c>
      <c r="G3603" s="3">
        <v>0</v>
      </c>
    </row>
    <row r="3604" spans="1:7" x14ac:dyDescent="0.25">
      <c r="A3604" s="3" t="s">
        <v>156</v>
      </c>
      <c r="B3604" s="3" t="s">
        <v>11</v>
      </c>
      <c r="C3604" s="3">
        <v>8</v>
      </c>
      <c r="D3604" s="3">
        <v>8</v>
      </c>
      <c r="E3604" s="3">
        <v>8</v>
      </c>
      <c r="F3604" s="3">
        <v>0</v>
      </c>
      <c r="G3604" s="3">
        <v>0</v>
      </c>
    </row>
    <row r="3605" spans="1:7" x14ac:dyDescent="0.25">
      <c r="A3605" s="3" t="s">
        <v>156</v>
      </c>
      <c r="B3605" s="3" t="s">
        <v>175</v>
      </c>
      <c r="C3605" s="3">
        <v>2</v>
      </c>
      <c r="D3605" s="3">
        <v>2</v>
      </c>
      <c r="E3605" s="3">
        <v>2</v>
      </c>
      <c r="F3605" s="3">
        <v>0</v>
      </c>
      <c r="G3605" s="3">
        <v>0</v>
      </c>
    </row>
    <row r="3606" spans="1:7" x14ac:dyDescent="0.25">
      <c r="A3606" s="3" t="s">
        <v>156</v>
      </c>
      <c r="B3606" s="3" t="s">
        <v>176</v>
      </c>
      <c r="C3606" s="3">
        <v>1</v>
      </c>
      <c r="D3606" s="3">
        <v>1</v>
      </c>
      <c r="E3606" s="3">
        <v>1</v>
      </c>
      <c r="F3606" s="3">
        <v>0</v>
      </c>
      <c r="G3606" s="3">
        <v>0</v>
      </c>
    </row>
    <row r="3607" spans="1:7" x14ac:dyDescent="0.25">
      <c r="A3607" s="3" t="s">
        <v>156</v>
      </c>
      <c r="B3607" s="3" t="s">
        <v>174</v>
      </c>
      <c r="C3607" s="3">
        <v>2</v>
      </c>
      <c r="D3607" s="3">
        <v>2</v>
      </c>
      <c r="E3607" s="3">
        <v>2</v>
      </c>
      <c r="F3607" s="3">
        <v>0</v>
      </c>
      <c r="G3607" s="3">
        <v>0</v>
      </c>
    </row>
    <row r="3608" spans="1:7" x14ac:dyDescent="0.25">
      <c r="A3608" s="3" t="s">
        <v>157</v>
      </c>
      <c r="B3608" s="3" t="s">
        <v>11</v>
      </c>
      <c r="C3608" s="3">
        <v>2</v>
      </c>
      <c r="D3608" s="3">
        <v>2</v>
      </c>
      <c r="E3608" s="3">
        <v>2</v>
      </c>
      <c r="F3608" s="3">
        <v>0</v>
      </c>
      <c r="G3608" s="3">
        <v>0</v>
      </c>
    </row>
    <row r="3609" spans="1:7" x14ac:dyDescent="0.25">
      <c r="A3609" s="3" t="s">
        <v>157</v>
      </c>
      <c r="B3609" s="3" t="s">
        <v>174</v>
      </c>
      <c r="C3609" s="3">
        <v>9</v>
      </c>
      <c r="D3609" s="3">
        <v>9</v>
      </c>
      <c r="E3609" s="3">
        <v>8</v>
      </c>
      <c r="F3609" s="3">
        <v>1</v>
      </c>
      <c r="G3609" s="3">
        <v>0</v>
      </c>
    </row>
    <row r="3610" spans="1:7" x14ac:dyDescent="0.25">
      <c r="A3610" s="3" t="s">
        <v>157</v>
      </c>
      <c r="B3610" s="3" t="s">
        <v>175</v>
      </c>
      <c r="C3610" s="3">
        <v>12</v>
      </c>
      <c r="D3610" s="3">
        <v>11</v>
      </c>
      <c r="E3610" s="3">
        <v>10</v>
      </c>
      <c r="F3610" s="3">
        <v>1</v>
      </c>
      <c r="G3610" s="3">
        <v>1</v>
      </c>
    </row>
    <row r="3611" spans="1:7" x14ac:dyDescent="0.25">
      <c r="A3611" s="3" t="s">
        <v>157</v>
      </c>
      <c r="B3611" s="3" t="s">
        <v>176</v>
      </c>
      <c r="C3611" s="3">
        <v>4</v>
      </c>
      <c r="D3611" s="3">
        <v>4</v>
      </c>
      <c r="E3611" s="3">
        <v>3</v>
      </c>
      <c r="F3611" s="3">
        <v>1</v>
      </c>
      <c r="G3611" s="3">
        <v>0</v>
      </c>
    </row>
    <row r="3612" spans="1:7" x14ac:dyDescent="0.25">
      <c r="A3612" s="3" t="s">
        <v>59</v>
      </c>
      <c r="B3612" s="3" t="s">
        <v>175</v>
      </c>
      <c r="C3612" s="3">
        <v>9</v>
      </c>
      <c r="D3612" s="3">
        <v>9</v>
      </c>
      <c r="E3612" s="3">
        <v>7</v>
      </c>
      <c r="F3612" s="3">
        <v>2</v>
      </c>
      <c r="G3612" s="3">
        <v>0</v>
      </c>
    </row>
    <row r="3613" spans="1:7" x14ac:dyDescent="0.25">
      <c r="A3613" s="3" t="s">
        <v>59</v>
      </c>
      <c r="B3613" s="3" t="s">
        <v>11</v>
      </c>
      <c r="C3613" s="3">
        <v>6</v>
      </c>
      <c r="D3613" s="3">
        <v>6</v>
      </c>
      <c r="E3613" s="3">
        <v>5</v>
      </c>
      <c r="F3613" s="3">
        <v>1</v>
      </c>
      <c r="G3613" s="3">
        <v>0</v>
      </c>
    </row>
    <row r="3614" spans="1:7" x14ac:dyDescent="0.25">
      <c r="A3614" s="3" t="s">
        <v>59</v>
      </c>
      <c r="B3614" s="3" t="s">
        <v>176</v>
      </c>
      <c r="C3614" s="3">
        <v>7</v>
      </c>
      <c r="D3614" s="3">
        <v>7</v>
      </c>
      <c r="E3614" s="3">
        <v>7</v>
      </c>
      <c r="F3614" s="3">
        <v>0</v>
      </c>
      <c r="G3614" s="3">
        <v>0</v>
      </c>
    </row>
    <row r="3615" spans="1:7" x14ac:dyDescent="0.25">
      <c r="A3615" s="3" t="s">
        <v>59</v>
      </c>
      <c r="B3615" s="3" t="s">
        <v>174</v>
      </c>
      <c r="C3615" s="3">
        <v>14</v>
      </c>
      <c r="D3615" s="3">
        <v>14</v>
      </c>
      <c r="E3615" s="3">
        <v>12</v>
      </c>
      <c r="F3615" s="3">
        <v>2</v>
      </c>
      <c r="G3615" s="3">
        <v>0</v>
      </c>
    </row>
    <row r="3616" spans="1:7" x14ac:dyDescent="0.25">
      <c r="A3616" s="3" t="s">
        <v>88</v>
      </c>
      <c r="B3616" s="3" t="s">
        <v>174</v>
      </c>
      <c r="C3616" s="3">
        <v>1</v>
      </c>
      <c r="D3616" s="3">
        <v>1</v>
      </c>
      <c r="E3616" s="3">
        <v>1</v>
      </c>
      <c r="F3616" s="3">
        <v>0</v>
      </c>
      <c r="G3616" s="3">
        <v>0</v>
      </c>
    </row>
    <row r="3617" spans="1:7" x14ac:dyDescent="0.25">
      <c r="A3617" s="3" t="s">
        <v>88</v>
      </c>
      <c r="B3617" s="3" t="s">
        <v>176</v>
      </c>
      <c r="C3617" s="3">
        <v>1</v>
      </c>
      <c r="D3617" s="3">
        <v>1</v>
      </c>
      <c r="E3617" s="3">
        <v>1</v>
      </c>
      <c r="F3617" s="3">
        <v>0</v>
      </c>
      <c r="G3617" s="3">
        <v>0</v>
      </c>
    </row>
    <row r="3618" spans="1:7" x14ac:dyDescent="0.25">
      <c r="A3618" s="3" t="s">
        <v>88</v>
      </c>
      <c r="B3618" s="3" t="s">
        <v>175</v>
      </c>
      <c r="C3618" s="3">
        <v>4</v>
      </c>
      <c r="D3618" s="3">
        <v>4</v>
      </c>
      <c r="E3618" s="3">
        <v>3</v>
      </c>
      <c r="F3618" s="3">
        <v>1</v>
      </c>
      <c r="G3618" s="3">
        <v>0</v>
      </c>
    </row>
    <row r="3619" spans="1:7" x14ac:dyDescent="0.25">
      <c r="A3619" s="3" t="s">
        <v>23</v>
      </c>
      <c r="B3619" s="3" t="s">
        <v>11</v>
      </c>
      <c r="C3619" s="3">
        <v>8</v>
      </c>
      <c r="D3619" s="3">
        <v>8</v>
      </c>
      <c r="E3619" s="3">
        <v>8</v>
      </c>
      <c r="F3619" s="3">
        <v>0</v>
      </c>
      <c r="G3619" s="3">
        <v>0</v>
      </c>
    </row>
    <row r="3620" spans="1:7" x14ac:dyDescent="0.25">
      <c r="A3620" s="3" t="s">
        <v>23</v>
      </c>
      <c r="B3620" s="3" t="s">
        <v>3</v>
      </c>
      <c r="C3620" s="3">
        <v>1</v>
      </c>
      <c r="D3620" s="3">
        <v>0</v>
      </c>
      <c r="E3620" s="3">
        <v>0</v>
      </c>
      <c r="F3620" s="3">
        <v>0</v>
      </c>
      <c r="G3620" s="3">
        <v>0</v>
      </c>
    </row>
    <row r="3621" spans="1:7" x14ac:dyDescent="0.25">
      <c r="A3621" s="3" t="s">
        <v>23</v>
      </c>
      <c r="B3621" s="3" t="s">
        <v>174</v>
      </c>
      <c r="C3621" s="3">
        <v>21</v>
      </c>
      <c r="D3621" s="3">
        <v>21</v>
      </c>
      <c r="E3621" s="3">
        <v>16</v>
      </c>
      <c r="F3621" s="3">
        <v>5</v>
      </c>
      <c r="G3621" s="3">
        <v>0</v>
      </c>
    </row>
    <row r="3622" spans="1:7" x14ac:dyDescent="0.25">
      <c r="A3622" s="3" t="s">
        <v>23</v>
      </c>
      <c r="B3622" s="3" t="s">
        <v>175</v>
      </c>
      <c r="C3622" s="3">
        <v>17</v>
      </c>
      <c r="D3622" s="3">
        <v>17</v>
      </c>
      <c r="E3622" s="3">
        <v>15</v>
      </c>
      <c r="F3622" s="3">
        <v>2</v>
      </c>
      <c r="G3622" s="3">
        <v>0</v>
      </c>
    </row>
    <row r="3623" spans="1:7" x14ac:dyDescent="0.25">
      <c r="A3623" s="3" t="s">
        <v>23</v>
      </c>
      <c r="B3623" s="3" t="s">
        <v>176</v>
      </c>
      <c r="C3623" s="3">
        <v>15</v>
      </c>
      <c r="D3623" s="3">
        <v>15</v>
      </c>
      <c r="E3623" s="3">
        <v>9</v>
      </c>
      <c r="F3623" s="3">
        <v>6</v>
      </c>
      <c r="G3623" s="3">
        <v>0</v>
      </c>
    </row>
    <row r="3624" spans="1:7" x14ac:dyDescent="0.25">
      <c r="A3624" s="3" t="s">
        <v>84</v>
      </c>
      <c r="B3624" s="3" t="s">
        <v>176</v>
      </c>
      <c r="C3624" s="3">
        <v>4</v>
      </c>
      <c r="D3624" s="3">
        <v>4</v>
      </c>
      <c r="E3624" s="3">
        <v>4</v>
      </c>
      <c r="F3624" s="3">
        <v>0</v>
      </c>
      <c r="G3624" s="3">
        <v>0</v>
      </c>
    </row>
    <row r="3625" spans="1:7" x14ac:dyDescent="0.25">
      <c r="A3625" s="3" t="s">
        <v>84</v>
      </c>
      <c r="B3625" s="3" t="s">
        <v>175</v>
      </c>
      <c r="C3625" s="3">
        <v>6</v>
      </c>
      <c r="D3625" s="3">
        <v>6</v>
      </c>
      <c r="E3625" s="3">
        <v>4</v>
      </c>
      <c r="F3625" s="3">
        <v>2</v>
      </c>
      <c r="G3625" s="3">
        <v>0</v>
      </c>
    </row>
    <row r="3626" spans="1:7" x14ac:dyDescent="0.25">
      <c r="A3626" s="3" t="s">
        <v>74</v>
      </c>
      <c r="B3626" s="3" t="s">
        <v>174</v>
      </c>
      <c r="C3626" s="3">
        <v>6</v>
      </c>
      <c r="D3626" s="3">
        <v>6</v>
      </c>
      <c r="E3626" s="3">
        <v>6</v>
      </c>
      <c r="F3626" s="3">
        <v>0</v>
      </c>
      <c r="G3626" s="3">
        <v>0</v>
      </c>
    </row>
    <row r="3627" spans="1:7" x14ac:dyDescent="0.25">
      <c r="A3627" s="3" t="s">
        <v>74</v>
      </c>
      <c r="B3627" s="3" t="s">
        <v>176</v>
      </c>
      <c r="C3627" s="3">
        <v>7</v>
      </c>
      <c r="D3627" s="3">
        <v>7</v>
      </c>
      <c r="E3627" s="3">
        <v>7</v>
      </c>
      <c r="F3627" s="3">
        <v>0</v>
      </c>
      <c r="G3627" s="3">
        <v>0</v>
      </c>
    </row>
    <row r="3628" spans="1:7" x14ac:dyDescent="0.25">
      <c r="A3628" s="3" t="s">
        <v>74</v>
      </c>
      <c r="B3628" s="3" t="s">
        <v>11</v>
      </c>
      <c r="C3628" s="3">
        <v>7</v>
      </c>
      <c r="D3628" s="3">
        <v>7</v>
      </c>
      <c r="E3628" s="3">
        <v>6</v>
      </c>
      <c r="F3628" s="3">
        <v>1</v>
      </c>
      <c r="G3628" s="3">
        <v>0</v>
      </c>
    </row>
    <row r="3629" spans="1:7" x14ac:dyDescent="0.25">
      <c r="A3629" s="3" t="s">
        <v>74</v>
      </c>
      <c r="B3629" s="3" t="s">
        <v>175</v>
      </c>
      <c r="C3629" s="3">
        <v>10</v>
      </c>
      <c r="D3629" s="3">
        <v>8</v>
      </c>
      <c r="E3629" s="3">
        <v>4</v>
      </c>
      <c r="F3629" s="3">
        <v>4</v>
      </c>
      <c r="G3629" s="3">
        <v>0</v>
      </c>
    </row>
    <row r="3630" spans="1:7" x14ac:dyDescent="0.25">
      <c r="A3630" s="3" t="s">
        <v>104</v>
      </c>
      <c r="B3630" s="3" t="s">
        <v>176</v>
      </c>
      <c r="C3630" s="3">
        <v>2</v>
      </c>
      <c r="D3630" s="3">
        <v>2</v>
      </c>
      <c r="E3630" s="3">
        <v>2</v>
      </c>
      <c r="F3630" s="3">
        <v>0</v>
      </c>
      <c r="G3630" s="3">
        <v>0</v>
      </c>
    </row>
    <row r="3631" spans="1:7" x14ac:dyDescent="0.25">
      <c r="A3631" s="3" t="s">
        <v>104</v>
      </c>
      <c r="B3631" s="3" t="s">
        <v>11</v>
      </c>
      <c r="C3631" s="3">
        <v>6</v>
      </c>
      <c r="D3631" s="3">
        <v>5</v>
      </c>
      <c r="E3631" s="3">
        <v>2</v>
      </c>
      <c r="F3631" s="3">
        <v>3</v>
      </c>
      <c r="G3631" s="3">
        <v>0</v>
      </c>
    </row>
    <row r="3632" spans="1:7" x14ac:dyDescent="0.25">
      <c r="A3632" s="3" t="s">
        <v>104</v>
      </c>
      <c r="B3632" s="3" t="s">
        <v>175</v>
      </c>
      <c r="C3632" s="3">
        <v>10</v>
      </c>
      <c r="D3632" s="3">
        <v>8</v>
      </c>
      <c r="E3632" s="3">
        <v>7</v>
      </c>
      <c r="F3632" s="3">
        <v>1</v>
      </c>
      <c r="G3632" s="3">
        <v>0</v>
      </c>
    </row>
    <row r="3633" spans="1:7" x14ac:dyDescent="0.25">
      <c r="A3633" s="3" t="s">
        <v>104</v>
      </c>
      <c r="B3633" s="3" t="s">
        <v>174</v>
      </c>
      <c r="C3633" s="3">
        <v>9</v>
      </c>
      <c r="D3633" s="3">
        <v>9</v>
      </c>
      <c r="E3633" s="3">
        <v>4</v>
      </c>
      <c r="F3633" s="3">
        <v>5</v>
      </c>
      <c r="G3633" s="3">
        <v>0</v>
      </c>
    </row>
    <row r="3634" spans="1:7" x14ac:dyDescent="0.25">
      <c r="A3634" s="3" t="s">
        <v>60</v>
      </c>
      <c r="B3634" s="3" t="s">
        <v>11</v>
      </c>
      <c r="C3634" s="3">
        <v>4</v>
      </c>
      <c r="D3634" s="3">
        <v>4</v>
      </c>
      <c r="E3634" s="3">
        <v>4</v>
      </c>
      <c r="F3634" s="3">
        <v>0</v>
      </c>
      <c r="G3634" s="3">
        <v>0</v>
      </c>
    </row>
    <row r="3635" spans="1:7" x14ac:dyDescent="0.25">
      <c r="A3635" s="3" t="s">
        <v>60</v>
      </c>
      <c r="B3635" s="3" t="s">
        <v>175</v>
      </c>
      <c r="C3635" s="3">
        <v>2</v>
      </c>
      <c r="D3635" s="3">
        <v>2</v>
      </c>
      <c r="E3635" s="3">
        <v>1</v>
      </c>
      <c r="F3635" s="3">
        <v>1</v>
      </c>
      <c r="G3635" s="3">
        <v>0</v>
      </c>
    </row>
    <row r="3636" spans="1:7" x14ac:dyDescent="0.25">
      <c r="A3636" s="3" t="s">
        <v>60</v>
      </c>
      <c r="B3636" s="3" t="s">
        <v>176</v>
      </c>
      <c r="C3636" s="3">
        <v>5</v>
      </c>
      <c r="D3636" s="3">
        <v>5</v>
      </c>
      <c r="E3636" s="3">
        <v>3</v>
      </c>
      <c r="F3636" s="3">
        <v>2</v>
      </c>
      <c r="G3636" s="3">
        <v>0</v>
      </c>
    </row>
    <row r="3637" spans="1:7" x14ac:dyDescent="0.25">
      <c r="A3637" s="3" t="s">
        <v>60</v>
      </c>
      <c r="B3637" s="3" t="s">
        <v>174</v>
      </c>
      <c r="C3637" s="3">
        <v>1</v>
      </c>
      <c r="D3637" s="3">
        <v>1</v>
      </c>
      <c r="E3637" s="3">
        <v>1</v>
      </c>
      <c r="F3637" s="3">
        <v>0</v>
      </c>
      <c r="G3637" s="3">
        <v>0</v>
      </c>
    </row>
    <row r="3638" spans="1:7" x14ac:dyDescent="0.25">
      <c r="A3638" s="3" t="s">
        <v>37</v>
      </c>
      <c r="B3638" s="3" t="s">
        <v>174</v>
      </c>
      <c r="C3638" s="3">
        <v>5</v>
      </c>
      <c r="D3638" s="3">
        <v>5</v>
      </c>
      <c r="E3638" s="3">
        <v>4</v>
      </c>
      <c r="F3638" s="3">
        <v>1</v>
      </c>
      <c r="G3638" s="3">
        <v>0</v>
      </c>
    </row>
    <row r="3639" spans="1:7" x14ac:dyDescent="0.25">
      <c r="A3639" s="3" t="s">
        <v>37</v>
      </c>
      <c r="B3639" s="3" t="s">
        <v>175</v>
      </c>
      <c r="C3639" s="3">
        <v>3</v>
      </c>
      <c r="D3639" s="3">
        <v>3</v>
      </c>
      <c r="E3639" s="3">
        <v>2</v>
      </c>
      <c r="F3639" s="3">
        <v>1</v>
      </c>
      <c r="G3639" s="3">
        <v>0</v>
      </c>
    </row>
    <row r="3640" spans="1:7" x14ac:dyDescent="0.25">
      <c r="A3640" s="3" t="s">
        <v>37</v>
      </c>
      <c r="B3640" s="3" t="s">
        <v>11</v>
      </c>
      <c r="C3640" s="3">
        <v>6</v>
      </c>
      <c r="D3640" s="3">
        <v>6</v>
      </c>
      <c r="E3640" s="3">
        <v>3</v>
      </c>
      <c r="F3640" s="3">
        <v>3</v>
      </c>
      <c r="G3640" s="3">
        <v>0</v>
      </c>
    </row>
    <row r="3641" spans="1:7" x14ac:dyDescent="0.25">
      <c r="A3641" s="3" t="s">
        <v>37</v>
      </c>
      <c r="B3641" s="3" t="s">
        <v>176</v>
      </c>
      <c r="C3641" s="3">
        <v>6</v>
      </c>
      <c r="D3641" s="3">
        <v>5</v>
      </c>
      <c r="E3641" s="3">
        <v>5</v>
      </c>
      <c r="F3641" s="3">
        <v>0</v>
      </c>
      <c r="G3641" s="3">
        <v>0</v>
      </c>
    </row>
    <row r="3642" spans="1:7" x14ac:dyDescent="0.25">
      <c r="A3642" s="3" t="s">
        <v>106</v>
      </c>
      <c r="B3642" s="3" t="s">
        <v>175</v>
      </c>
      <c r="C3642" s="3">
        <v>3</v>
      </c>
      <c r="D3642" s="3">
        <v>3</v>
      </c>
      <c r="E3642" s="3">
        <v>2</v>
      </c>
      <c r="F3642" s="3">
        <v>1</v>
      </c>
      <c r="G3642" s="3">
        <v>0</v>
      </c>
    </row>
    <row r="3643" spans="1:7" x14ac:dyDescent="0.25">
      <c r="A3643" s="3" t="s">
        <v>106</v>
      </c>
      <c r="B3643" s="3" t="s">
        <v>176</v>
      </c>
      <c r="C3643" s="3">
        <v>6</v>
      </c>
      <c r="D3643" s="3">
        <v>6</v>
      </c>
      <c r="E3643" s="3">
        <v>6</v>
      </c>
      <c r="F3643" s="3">
        <v>0</v>
      </c>
      <c r="G3643" s="3">
        <v>0</v>
      </c>
    </row>
    <row r="3644" spans="1:7" x14ac:dyDescent="0.25">
      <c r="A3644" s="3" t="s">
        <v>106</v>
      </c>
      <c r="B3644" s="3" t="s">
        <v>11</v>
      </c>
      <c r="C3644" s="3">
        <v>1</v>
      </c>
      <c r="D3644" s="3">
        <v>1</v>
      </c>
      <c r="E3644" s="3">
        <v>1</v>
      </c>
      <c r="F3644" s="3">
        <v>0</v>
      </c>
      <c r="G3644" s="3">
        <v>0</v>
      </c>
    </row>
    <row r="3645" spans="1:7" x14ac:dyDescent="0.25">
      <c r="A3645" s="3" t="s">
        <v>165</v>
      </c>
      <c r="B3645" s="3" t="s">
        <v>176</v>
      </c>
      <c r="C3645" s="3">
        <v>2</v>
      </c>
      <c r="D3645" s="3">
        <v>2</v>
      </c>
      <c r="E3645" s="3">
        <v>1</v>
      </c>
      <c r="F3645" s="3">
        <v>1</v>
      </c>
      <c r="G3645" s="3">
        <v>0</v>
      </c>
    </row>
    <row r="3646" spans="1:7" x14ac:dyDescent="0.25">
      <c r="A3646" s="3" t="s">
        <v>165</v>
      </c>
      <c r="B3646" s="3" t="s">
        <v>175</v>
      </c>
      <c r="C3646" s="3">
        <v>2</v>
      </c>
      <c r="D3646" s="3">
        <v>2</v>
      </c>
      <c r="E3646" s="3">
        <v>2</v>
      </c>
      <c r="F3646" s="3">
        <v>0</v>
      </c>
      <c r="G3646" s="3">
        <v>0</v>
      </c>
    </row>
    <row r="3647" spans="1:7" x14ac:dyDescent="0.25">
      <c r="A3647" s="3" t="s">
        <v>165</v>
      </c>
      <c r="B3647" s="3" t="s">
        <v>174</v>
      </c>
      <c r="C3647" s="3">
        <v>2</v>
      </c>
      <c r="D3647" s="3">
        <v>2</v>
      </c>
      <c r="E3647" s="3">
        <v>2</v>
      </c>
      <c r="F3647" s="3">
        <v>0</v>
      </c>
      <c r="G3647" s="3">
        <v>0</v>
      </c>
    </row>
    <row r="3648" spans="1:7" x14ac:dyDescent="0.25">
      <c r="A3648" s="3" t="s">
        <v>162</v>
      </c>
      <c r="B3648" s="3" t="s">
        <v>174</v>
      </c>
      <c r="C3648" s="3">
        <v>1</v>
      </c>
      <c r="D3648" s="3">
        <v>1</v>
      </c>
      <c r="E3648" s="3">
        <v>1</v>
      </c>
      <c r="F3648" s="3">
        <v>0</v>
      </c>
      <c r="G3648" s="3">
        <v>0</v>
      </c>
    </row>
    <row r="3649" spans="1:7" x14ac:dyDescent="0.25">
      <c r="A3649" s="3" t="s">
        <v>162</v>
      </c>
      <c r="B3649" s="3" t="s">
        <v>175</v>
      </c>
      <c r="C3649" s="3">
        <v>2</v>
      </c>
      <c r="D3649" s="3">
        <v>1</v>
      </c>
      <c r="E3649" s="3">
        <v>0</v>
      </c>
      <c r="F3649" s="3">
        <v>1</v>
      </c>
      <c r="G3649" s="3">
        <v>0</v>
      </c>
    </row>
    <row r="3650" spans="1:7" x14ac:dyDescent="0.25">
      <c r="A3650" s="3" t="s">
        <v>162</v>
      </c>
      <c r="B3650" s="3" t="s">
        <v>176</v>
      </c>
      <c r="C3650" s="3">
        <v>8</v>
      </c>
      <c r="D3650" s="3">
        <v>8</v>
      </c>
      <c r="E3650" s="3">
        <v>4</v>
      </c>
      <c r="F3650" s="3">
        <v>4</v>
      </c>
      <c r="G3650" s="3">
        <v>0</v>
      </c>
    </row>
    <row r="3651" spans="1:7" x14ac:dyDescent="0.25">
      <c r="A3651" s="3" t="s">
        <v>162</v>
      </c>
      <c r="B3651" s="3" t="s">
        <v>11</v>
      </c>
      <c r="C3651" s="3">
        <v>3</v>
      </c>
      <c r="D3651" s="3">
        <v>3</v>
      </c>
      <c r="E3651" s="3">
        <v>2</v>
      </c>
      <c r="F3651" s="3">
        <v>1</v>
      </c>
      <c r="G3651" s="3">
        <v>0</v>
      </c>
    </row>
    <row r="3652" spans="1:7" x14ac:dyDescent="0.25">
      <c r="A3652" s="3" t="s">
        <v>75</v>
      </c>
      <c r="B3652" s="3" t="s">
        <v>11</v>
      </c>
      <c r="C3652" s="3">
        <v>7</v>
      </c>
      <c r="D3652" s="3">
        <v>7</v>
      </c>
      <c r="E3652" s="3">
        <v>6</v>
      </c>
      <c r="F3652" s="3">
        <v>1</v>
      </c>
      <c r="G3652" s="3">
        <v>0</v>
      </c>
    </row>
    <row r="3653" spans="1:7" x14ac:dyDescent="0.25">
      <c r="A3653" s="3" t="s">
        <v>75</v>
      </c>
      <c r="B3653" s="3" t="s">
        <v>176</v>
      </c>
      <c r="C3653" s="3">
        <v>7</v>
      </c>
      <c r="D3653" s="3">
        <v>7</v>
      </c>
      <c r="E3653" s="3">
        <v>5</v>
      </c>
      <c r="F3653" s="3">
        <v>2</v>
      </c>
      <c r="G3653" s="3">
        <v>0</v>
      </c>
    </row>
    <row r="3654" spans="1:7" x14ac:dyDescent="0.25">
      <c r="A3654" s="3" t="s">
        <v>75</v>
      </c>
      <c r="B3654" s="3" t="s">
        <v>174</v>
      </c>
      <c r="C3654" s="3">
        <v>18</v>
      </c>
      <c r="D3654" s="3">
        <v>18</v>
      </c>
      <c r="E3654" s="3">
        <v>11</v>
      </c>
      <c r="F3654" s="3">
        <v>7</v>
      </c>
      <c r="G3654" s="3">
        <v>0</v>
      </c>
    </row>
    <row r="3655" spans="1:7" x14ac:dyDescent="0.25">
      <c r="A3655" s="3" t="s">
        <v>75</v>
      </c>
      <c r="B3655" s="3" t="s">
        <v>175</v>
      </c>
      <c r="C3655" s="3">
        <v>22</v>
      </c>
      <c r="D3655" s="3">
        <v>22</v>
      </c>
      <c r="E3655" s="3">
        <v>15</v>
      </c>
      <c r="F3655" s="3">
        <v>7</v>
      </c>
      <c r="G3655" s="3">
        <v>0</v>
      </c>
    </row>
    <row r="3656" spans="1:7" x14ac:dyDescent="0.25">
      <c r="A3656" s="3" t="s">
        <v>139</v>
      </c>
      <c r="B3656" s="3" t="s">
        <v>11</v>
      </c>
      <c r="C3656" s="3">
        <v>1</v>
      </c>
      <c r="D3656" s="3">
        <v>1</v>
      </c>
      <c r="E3656" s="3">
        <v>1</v>
      </c>
      <c r="F3656" s="3">
        <v>0</v>
      </c>
      <c r="G3656" s="3">
        <v>0</v>
      </c>
    </row>
    <row r="3657" spans="1:7" x14ac:dyDescent="0.25">
      <c r="A3657" s="3" t="s">
        <v>139</v>
      </c>
      <c r="B3657" s="3" t="s">
        <v>174</v>
      </c>
      <c r="C3657" s="3">
        <v>1</v>
      </c>
      <c r="D3657" s="3">
        <v>1</v>
      </c>
      <c r="E3657" s="3">
        <v>1</v>
      </c>
      <c r="F3657" s="3">
        <v>0</v>
      </c>
      <c r="G3657" s="3">
        <v>0</v>
      </c>
    </row>
    <row r="3658" spans="1:7" x14ac:dyDescent="0.25">
      <c r="A3658" s="3" t="s">
        <v>24</v>
      </c>
      <c r="B3658" s="3" t="s">
        <v>176</v>
      </c>
      <c r="C3658" s="3">
        <v>27</v>
      </c>
      <c r="D3658" s="3">
        <v>27</v>
      </c>
      <c r="E3658" s="3">
        <v>26</v>
      </c>
      <c r="F3658" s="3">
        <v>1</v>
      </c>
      <c r="G3658" s="3">
        <v>0</v>
      </c>
    </row>
    <row r="3659" spans="1:7" x14ac:dyDescent="0.25">
      <c r="A3659" s="3" t="s">
        <v>24</v>
      </c>
      <c r="B3659" s="3" t="s">
        <v>11</v>
      </c>
      <c r="C3659" s="3">
        <v>11</v>
      </c>
      <c r="D3659" s="3">
        <v>11</v>
      </c>
      <c r="E3659" s="3">
        <v>10</v>
      </c>
      <c r="F3659" s="3">
        <v>1</v>
      </c>
      <c r="G3659" s="3">
        <v>0</v>
      </c>
    </row>
    <row r="3660" spans="1:7" x14ac:dyDescent="0.25">
      <c r="A3660" s="3" t="s">
        <v>24</v>
      </c>
      <c r="B3660" s="3" t="s">
        <v>175</v>
      </c>
      <c r="C3660" s="3">
        <v>2</v>
      </c>
      <c r="D3660" s="3">
        <v>2</v>
      </c>
      <c r="E3660" s="3">
        <v>2</v>
      </c>
      <c r="F3660" s="3">
        <v>0</v>
      </c>
      <c r="G3660" s="3">
        <v>0</v>
      </c>
    </row>
    <row r="3661" spans="1:7" x14ac:dyDescent="0.25">
      <c r="A3661" s="3" t="s">
        <v>24</v>
      </c>
      <c r="B3661" s="3" t="s">
        <v>174</v>
      </c>
      <c r="C3661" s="3">
        <v>12</v>
      </c>
      <c r="D3661" s="3">
        <v>12</v>
      </c>
      <c r="E3661" s="3">
        <v>12</v>
      </c>
      <c r="F3661" s="3">
        <v>0</v>
      </c>
      <c r="G3661" s="3">
        <v>0</v>
      </c>
    </row>
    <row r="3662" spans="1:7" x14ac:dyDescent="0.25">
      <c r="A3662" s="3" t="s">
        <v>159</v>
      </c>
      <c r="B3662" s="3" t="s">
        <v>174</v>
      </c>
      <c r="C3662" s="3">
        <v>7</v>
      </c>
      <c r="D3662" s="3">
        <v>7</v>
      </c>
      <c r="E3662" s="3">
        <v>7</v>
      </c>
      <c r="F3662" s="3">
        <v>0</v>
      </c>
      <c r="G3662" s="3">
        <v>0</v>
      </c>
    </row>
    <row r="3663" spans="1:7" x14ac:dyDescent="0.25">
      <c r="A3663" s="3" t="s">
        <v>159</v>
      </c>
      <c r="B3663" s="3" t="s">
        <v>175</v>
      </c>
      <c r="C3663" s="3">
        <v>3</v>
      </c>
      <c r="D3663" s="3">
        <v>3</v>
      </c>
      <c r="E3663" s="3">
        <v>3</v>
      </c>
      <c r="F3663" s="3">
        <v>0</v>
      </c>
      <c r="G3663" s="3">
        <v>0</v>
      </c>
    </row>
    <row r="3664" spans="1:7" x14ac:dyDescent="0.25">
      <c r="A3664" s="3" t="s">
        <v>159</v>
      </c>
      <c r="B3664" s="3" t="s">
        <v>176</v>
      </c>
      <c r="C3664" s="3">
        <v>9</v>
      </c>
      <c r="D3664" s="3">
        <v>9</v>
      </c>
      <c r="E3664" s="3">
        <v>9</v>
      </c>
      <c r="F3664" s="3">
        <v>0</v>
      </c>
      <c r="G3664" s="3">
        <v>0</v>
      </c>
    </row>
    <row r="3665" spans="1:13" x14ac:dyDescent="0.25">
      <c r="A3665" s="3" t="s">
        <v>159</v>
      </c>
      <c r="B3665" s="3" t="s">
        <v>11</v>
      </c>
      <c r="C3665" s="3">
        <v>5</v>
      </c>
      <c r="D3665" s="3">
        <v>5</v>
      </c>
      <c r="E3665" s="3">
        <v>5</v>
      </c>
      <c r="F3665" s="3">
        <v>0</v>
      </c>
      <c r="G3665" s="3">
        <v>0</v>
      </c>
    </row>
    <row r="3666" spans="1:13" x14ac:dyDescent="0.25">
      <c r="A3666" s="3" t="s">
        <v>38</v>
      </c>
      <c r="B3666" s="3" t="s">
        <v>175</v>
      </c>
      <c r="C3666" s="3">
        <v>1</v>
      </c>
      <c r="D3666" s="3">
        <v>1</v>
      </c>
      <c r="E3666" s="3">
        <v>1</v>
      </c>
      <c r="F3666" s="3">
        <v>0</v>
      </c>
      <c r="G3666" s="3">
        <v>0</v>
      </c>
    </row>
    <row r="3667" spans="1:13" x14ac:dyDescent="0.25">
      <c r="A3667" s="3" t="s">
        <v>56</v>
      </c>
      <c r="B3667" s="3" t="s">
        <v>175</v>
      </c>
      <c r="C3667" s="3">
        <v>6</v>
      </c>
      <c r="D3667" s="3">
        <v>5</v>
      </c>
      <c r="E3667" s="3">
        <v>3</v>
      </c>
      <c r="F3667" s="3">
        <v>2</v>
      </c>
      <c r="G3667" s="3">
        <v>1</v>
      </c>
    </row>
    <row r="3668" spans="1:13" x14ac:dyDescent="0.25">
      <c r="A3668" s="3" t="s">
        <v>56</v>
      </c>
      <c r="B3668" s="3" t="s">
        <v>176</v>
      </c>
      <c r="C3668" s="3">
        <v>2</v>
      </c>
      <c r="D3668" s="3">
        <v>2</v>
      </c>
      <c r="E3668" s="3">
        <v>2</v>
      </c>
      <c r="F3668" s="3">
        <v>0</v>
      </c>
      <c r="G3668" s="3">
        <v>0</v>
      </c>
    </row>
    <row r="3669" spans="1:13" x14ac:dyDescent="0.25">
      <c r="A3669" s="3" t="s">
        <v>25</v>
      </c>
      <c r="B3669" s="3" t="s">
        <v>174</v>
      </c>
      <c r="C3669" s="3">
        <v>1</v>
      </c>
      <c r="D3669" s="3">
        <v>1</v>
      </c>
      <c r="E3669" s="3">
        <v>1</v>
      </c>
      <c r="F3669" s="3">
        <v>0</v>
      </c>
      <c r="G3669" s="3">
        <v>1</v>
      </c>
    </row>
    <row r="3670" spans="1:13" x14ac:dyDescent="0.25">
      <c r="A3670" s="3" t="s">
        <v>25</v>
      </c>
      <c r="B3670" s="3" t="s">
        <v>175</v>
      </c>
      <c r="C3670" s="3">
        <v>1</v>
      </c>
      <c r="D3670" s="3">
        <v>1</v>
      </c>
      <c r="E3670" s="3">
        <v>1</v>
      </c>
      <c r="F3670" s="3">
        <v>0</v>
      </c>
      <c r="G3670" s="3">
        <v>0</v>
      </c>
    </row>
    <row r="3671" spans="1:13" x14ac:dyDescent="0.25">
      <c r="A3671" s="3" t="s">
        <v>68</v>
      </c>
      <c r="B3671" s="3" t="s">
        <v>176</v>
      </c>
      <c r="C3671" s="3">
        <v>1</v>
      </c>
      <c r="D3671" s="3">
        <v>1</v>
      </c>
      <c r="E3671" s="3">
        <v>1</v>
      </c>
      <c r="F3671" s="3">
        <v>0</v>
      </c>
      <c r="G3671" s="3">
        <v>0</v>
      </c>
    </row>
    <row r="3672" spans="1:13" x14ac:dyDescent="0.25">
      <c r="A3672" s="3" t="s">
        <v>68</v>
      </c>
      <c r="B3672" s="3" t="s">
        <v>174</v>
      </c>
      <c r="C3672" s="3">
        <v>5</v>
      </c>
      <c r="D3672" s="3">
        <v>5</v>
      </c>
      <c r="E3672" s="3">
        <v>5</v>
      </c>
      <c r="F3672" s="3">
        <v>0</v>
      </c>
      <c r="G3672" s="3">
        <v>0</v>
      </c>
    </row>
    <row r="3673" spans="1:13" x14ac:dyDescent="0.25">
      <c r="A3673" s="3" t="s">
        <v>68</v>
      </c>
      <c r="B3673" s="3" t="s">
        <v>175</v>
      </c>
      <c r="C3673" s="3">
        <v>7</v>
      </c>
      <c r="D3673" s="3">
        <v>7</v>
      </c>
      <c r="E3673" s="3">
        <v>7</v>
      </c>
      <c r="F3673" s="3">
        <v>0</v>
      </c>
      <c r="G3673" s="3">
        <v>0</v>
      </c>
    </row>
    <row r="3674" spans="1:13" x14ac:dyDescent="0.25">
      <c r="A3674" s="3" t="s">
        <v>114</v>
      </c>
      <c r="B3674" s="3" t="s">
        <v>174</v>
      </c>
      <c r="C3674" s="3">
        <v>9</v>
      </c>
      <c r="D3674" s="3">
        <v>9</v>
      </c>
      <c r="E3674" s="3">
        <v>8</v>
      </c>
      <c r="F3674" s="3">
        <v>1</v>
      </c>
      <c r="G3674" s="3">
        <v>0</v>
      </c>
    </row>
    <row r="3675" spans="1:13" x14ac:dyDescent="0.25">
      <c r="A3675" s="3" t="s">
        <v>114</v>
      </c>
      <c r="B3675" s="3" t="s">
        <v>175</v>
      </c>
      <c r="C3675" s="3">
        <v>18</v>
      </c>
      <c r="D3675" s="3">
        <v>18</v>
      </c>
      <c r="E3675" s="3">
        <v>12</v>
      </c>
      <c r="F3675" s="3">
        <v>6</v>
      </c>
      <c r="G3675" s="3">
        <v>0</v>
      </c>
    </row>
    <row r="3676" spans="1:13" x14ac:dyDescent="0.25">
      <c r="A3676" s="3" t="s">
        <v>114</v>
      </c>
      <c r="B3676" s="3" t="s">
        <v>11</v>
      </c>
      <c r="C3676" s="3">
        <v>5</v>
      </c>
      <c r="D3676" s="3">
        <v>5</v>
      </c>
      <c r="E3676" s="3">
        <v>5</v>
      </c>
      <c r="F3676" s="3">
        <v>0</v>
      </c>
      <c r="G3676" s="3">
        <v>0</v>
      </c>
    </row>
    <row r="3677" spans="1:13" x14ac:dyDescent="0.25">
      <c r="A3677" s="3" t="s">
        <v>114</v>
      </c>
      <c r="B3677" s="3" t="s">
        <v>176</v>
      </c>
      <c r="C3677" s="3">
        <v>9</v>
      </c>
      <c r="D3677" s="3">
        <v>9</v>
      </c>
      <c r="E3677" s="3">
        <v>8</v>
      </c>
      <c r="F3677" s="3">
        <v>1</v>
      </c>
      <c r="G3677" s="3">
        <v>0</v>
      </c>
      <c r="I3677">
        <f>+SUM(C3613:C3677)</f>
        <v>421</v>
      </c>
      <c r="J3677">
        <f t="shared" ref="J3677:M3677" si="5">+SUM(D3613:D3677)</f>
        <v>412</v>
      </c>
      <c r="K3677">
        <f t="shared" si="5"/>
        <v>334</v>
      </c>
      <c r="L3677">
        <f t="shared" si="5"/>
        <v>78</v>
      </c>
      <c r="M3677">
        <f t="shared" si="5"/>
        <v>2</v>
      </c>
    </row>
    <row r="3678" spans="1:13" x14ac:dyDescent="0.25">
      <c r="A3678" s="3" t="s">
        <v>136</v>
      </c>
      <c r="B3678" s="3" t="s">
        <v>174</v>
      </c>
      <c r="C3678" s="3">
        <v>4</v>
      </c>
      <c r="D3678" s="3">
        <v>4</v>
      </c>
      <c r="E3678" s="3">
        <v>4</v>
      </c>
      <c r="F3678" s="3">
        <v>0</v>
      </c>
      <c r="G3678" s="3">
        <v>0</v>
      </c>
    </row>
    <row r="3679" spans="1:13" x14ac:dyDescent="0.25">
      <c r="A3679" s="3" t="s">
        <v>136</v>
      </c>
      <c r="B3679" s="3" t="s">
        <v>176</v>
      </c>
      <c r="C3679" s="3">
        <v>6</v>
      </c>
      <c r="D3679" s="3">
        <v>6</v>
      </c>
      <c r="E3679" s="3">
        <v>6</v>
      </c>
      <c r="F3679" s="3">
        <v>0</v>
      </c>
      <c r="G3679" s="3">
        <v>0</v>
      </c>
    </row>
    <row r="3680" spans="1:13" x14ac:dyDescent="0.25">
      <c r="A3680" s="3" t="s">
        <v>136</v>
      </c>
      <c r="B3680" s="3" t="s">
        <v>175</v>
      </c>
      <c r="C3680" s="3">
        <v>4</v>
      </c>
      <c r="D3680" s="3">
        <v>4</v>
      </c>
      <c r="E3680" s="3">
        <v>4</v>
      </c>
      <c r="F3680" s="3">
        <v>0</v>
      </c>
      <c r="G3680" s="3">
        <v>0</v>
      </c>
    </row>
    <row r="3681" spans="1:7" x14ac:dyDescent="0.25">
      <c r="A3681" s="3" t="s">
        <v>136</v>
      </c>
      <c r="B3681" s="3" t="s">
        <v>11</v>
      </c>
      <c r="C3681" s="3">
        <v>6</v>
      </c>
      <c r="D3681" s="3">
        <v>6</v>
      </c>
      <c r="E3681" s="3">
        <v>5</v>
      </c>
      <c r="F3681" s="3">
        <v>1</v>
      </c>
      <c r="G3681" s="3">
        <v>0</v>
      </c>
    </row>
    <row r="3682" spans="1:7" x14ac:dyDescent="0.25">
      <c r="A3682" s="3" t="s">
        <v>152</v>
      </c>
      <c r="B3682" s="3" t="s">
        <v>11</v>
      </c>
      <c r="C3682" s="3">
        <v>5</v>
      </c>
      <c r="D3682" s="3">
        <v>5</v>
      </c>
      <c r="E3682" s="3">
        <v>3</v>
      </c>
      <c r="F3682" s="3">
        <v>2</v>
      </c>
      <c r="G3682" s="3">
        <v>0</v>
      </c>
    </row>
    <row r="3683" spans="1:7" x14ac:dyDescent="0.25">
      <c r="A3683" s="3" t="s">
        <v>152</v>
      </c>
      <c r="B3683" s="3" t="s">
        <v>176</v>
      </c>
      <c r="C3683" s="3">
        <v>4</v>
      </c>
      <c r="D3683" s="3">
        <v>4</v>
      </c>
      <c r="E3683" s="3">
        <v>3</v>
      </c>
      <c r="F3683" s="3">
        <v>1</v>
      </c>
      <c r="G3683" s="3">
        <v>0</v>
      </c>
    </row>
    <row r="3684" spans="1:7" x14ac:dyDescent="0.25">
      <c r="A3684" s="3" t="s">
        <v>152</v>
      </c>
      <c r="B3684" s="3" t="s">
        <v>175</v>
      </c>
      <c r="C3684" s="3">
        <v>18</v>
      </c>
      <c r="D3684" s="3">
        <v>17</v>
      </c>
      <c r="E3684" s="3">
        <v>12</v>
      </c>
      <c r="F3684" s="3">
        <v>5</v>
      </c>
      <c r="G3684" s="3">
        <v>0</v>
      </c>
    </row>
    <row r="3685" spans="1:7" x14ac:dyDescent="0.25">
      <c r="A3685" s="3" t="s">
        <v>152</v>
      </c>
      <c r="B3685" s="3" t="s">
        <v>174</v>
      </c>
      <c r="C3685" s="3">
        <v>6</v>
      </c>
      <c r="D3685" s="3">
        <v>6</v>
      </c>
      <c r="E3685" s="3">
        <v>5</v>
      </c>
      <c r="F3685" s="3">
        <v>1</v>
      </c>
      <c r="G3685" s="3">
        <v>0</v>
      </c>
    </row>
    <row r="3686" spans="1:7" x14ac:dyDescent="0.25">
      <c r="A3686" s="3" t="s">
        <v>132</v>
      </c>
      <c r="B3686" s="3" t="s">
        <v>175</v>
      </c>
      <c r="C3686" s="3">
        <v>1</v>
      </c>
      <c r="D3686" s="3">
        <v>1</v>
      </c>
      <c r="E3686" s="3">
        <v>1</v>
      </c>
      <c r="F3686" s="3">
        <v>0</v>
      </c>
      <c r="G3686" s="3">
        <v>0</v>
      </c>
    </row>
    <row r="3687" spans="1:7" x14ac:dyDescent="0.25">
      <c r="A3687" s="3" t="s">
        <v>132</v>
      </c>
      <c r="B3687" s="3" t="s">
        <v>11</v>
      </c>
      <c r="C3687" s="3">
        <v>1</v>
      </c>
      <c r="D3687" s="3">
        <v>1</v>
      </c>
      <c r="E3687" s="3">
        <v>1</v>
      </c>
      <c r="F3687" s="3">
        <v>0</v>
      </c>
      <c r="G3687" s="3">
        <v>0</v>
      </c>
    </row>
    <row r="3688" spans="1:7" x14ac:dyDescent="0.25">
      <c r="A3688" s="3" t="s">
        <v>132</v>
      </c>
      <c r="B3688" s="3" t="s">
        <v>176</v>
      </c>
      <c r="C3688" s="3">
        <v>2</v>
      </c>
      <c r="D3688" s="3">
        <v>2</v>
      </c>
      <c r="E3688" s="3">
        <v>1</v>
      </c>
      <c r="F3688" s="3">
        <v>1</v>
      </c>
      <c r="G3688" s="3">
        <v>0</v>
      </c>
    </row>
    <row r="3689" spans="1:7" x14ac:dyDescent="0.25">
      <c r="A3689" s="3" t="s">
        <v>132</v>
      </c>
      <c r="B3689" s="3" t="s">
        <v>174</v>
      </c>
      <c r="C3689" s="3">
        <v>2</v>
      </c>
      <c r="D3689" s="3">
        <v>2</v>
      </c>
      <c r="E3689" s="3">
        <v>2</v>
      </c>
      <c r="F3689" s="3">
        <v>0</v>
      </c>
      <c r="G3689" s="3">
        <v>0</v>
      </c>
    </row>
    <row r="3690" spans="1:7" x14ac:dyDescent="0.25">
      <c r="A3690" s="3" t="s">
        <v>169</v>
      </c>
      <c r="B3690" s="3" t="s">
        <v>175</v>
      </c>
      <c r="C3690" s="3">
        <v>19</v>
      </c>
      <c r="D3690" s="3">
        <v>18</v>
      </c>
      <c r="E3690" s="3">
        <v>16</v>
      </c>
      <c r="F3690" s="3">
        <v>2</v>
      </c>
      <c r="G3690" s="3">
        <v>0</v>
      </c>
    </row>
    <row r="3691" spans="1:7" x14ac:dyDescent="0.25">
      <c r="A3691" s="3" t="s">
        <v>169</v>
      </c>
      <c r="B3691" s="3" t="s">
        <v>11</v>
      </c>
      <c r="C3691" s="3">
        <v>21</v>
      </c>
      <c r="D3691" s="3">
        <v>20</v>
      </c>
      <c r="E3691" s="3">
        <v>14</v>
      </c>
      <c r="F3691" s="3">
        <v>6</v>
      </c>
      <c r="G3691" s="3">
        <v>0</v>
      </c>
    </row>
    <row r="3692" spans="1:7" x14ac:dyDescent="0.25">
      <c r="A3692" s="3" t="s">
        <v>169</v>
      </c>
      <c r="B3692" s="3" t="s">
        <v>176</v>
      </c>
      <c r="C3692" s="3">
        <v>18</v>
      </c>
      <c r="D3692" s="3">
        <v>18</v>
      </c>
      <c r="E3692" s="3">
        <v>15</v>
      </c>
      <c r="F3692" s="3">
        <v>3</v>
      </c>
      <c r="G3692" s="3">
        <v>0</v>
      </c>
    </row>
    <row r="3693" spans="1:7" x14ac:dyDescent="0.25">
      <c r="A3693" s="3" t="s">
        <v>169</v>
      </c>
      <c r="B3693" s="3" t="s">
        <v>174</v>
      </c>
      <c r="C3693" s="3">
        <v>29</v>
      </c>
      <c r="D3693" s="3">
        <v>28</v>
      </c>
      <c r="E3693" s="3">
        <v>24</v>
      </c>
      <c r="F3693" s="3">
        <v>4</v>
      </c>
      <c r="G3693" s="3">
        <v>0</v>
      </c>
    </row>
    <row r="3694" spans="1:7" x14ac:dyDescent="0.25">
      <c r="A3694" s="3" t="s">
        <v>93</v>
      </c>
      <c r="B3694" s="3" t="s">
        <v>11</v>
      </c>
      <c r="C3694" s="3">
        <v>5</v>
      </c>
      <c r="D3694" s="3">
        <v>5</v>
      </c>
      <c r="E3694" s="3">
        <v>5</v>
      </c>
      <c r="F3694" s="3">
        <v>0</v>
      </c>
      <c r="G3694" s="3">
        <v>0</v>
      </c>
    </row>
    <row r="3695" spans="1:7" x14ac:dyDescent="0.25">
      <c r="A3695" s="3" t="s">
        <v>93</v>
      </c>
      <c r="B3695" s="3" t="s">
        <v>175</v>
      </c>
      <c r="C3695" s="3">
        <v>5</v>
      </c>
      <c r="D3695" s="3">
        <v>5</v>
      </c>
      <c r="E3695" s="3">
        <v>4</v>
      </c>
      <c r="F3695" s="3">
        <v>1</v>
      </c>
      <c r="G3695" s="3">
        <v>0</v>
      </c>
    </row>
    <row r="3696" spans="1:7" x14ac:dyDescent="0.25">
      <c r="A3696" s="3" t="s">
        <v>93</v>
      </c>
      <c r="B3696" s="3" t="s">
        <v>176</v>
      </c>
      <c r="C3696" s="3">
        <v>6</v>
      </c>
      <c r="D3696" s="3">
        <v>6</v>
      </c>
      <c r="E3696" s="3">
        <v>4</v>
      </c>
      <c r="F3696" s="3">
        <v>2</v>
      </c>
      <c r="G3696" s="3">
        <v>0</v>
      </c>
    </row>
    <row r="3697" spans="1:7" x14ac:dyDescent="0.25">
      <c r="A3697" s="3" t="s">
        <v>93</v>
      </c>
      <c r="B3697" s="3" t="s">
        <v>174</v>
      </c>
      <c r="C3697" s="3">
        <v>8</v>
      </c>
      <c r="D3697" s="3">
        <v>8</v>
      </c>
      <c r="E3697" s="3">
        <v>7</v>
      </c>
      <c r="F3697" s="3">
        <v>1</v>
      </c>
      <c r="G3697" s="3">
        <v>0</v>
      </c>
    </row>
    <row r="3698" spans="1:7" x14ac:dyDescent="0.25">
      <c r="A3698" s="3" t="s">
        <v>49</v>
      </c>
      <c r="B3698" s="3" t="s">
        <v>11</v>
      </c>
      <c r="C3698" s="3">
        <v>11</v>
      </c>
      <c r="D3698" s="3">
        <v>11</v>
      </c>
      <c r="E3698" s="3">
        <v>11</v>
      </c>
      <c r="F3698" s="3">
        <v>0</v>
      </c>
      <c r="G3698" s="3">
        <v>0</v>
      </c>
    </row>
    <row r="3699" spans="1:7" x14ac:dyDescent="0.25">
      <c r="A3699" s="3" t="s">
        <v>49</v>
      </c>
      <c r="B3699" s="3" t="s">
        <v>175</v>
      </c>
      <c r="C3699" s="3">
        <v>19</v>
      </c>
      <c r="D3699" s="3">
        <v>19</v>
      </c>
      <c r="E3699" s="3">
        <v>14</v>
      </c>
      <c r="F3699" s="3">
        <v>5</v>
      </c>
      <c r="G3699" s="3">
        <v>0</v>
      </c>
    </row>
    <row r="3700" spans="1:7" x14ac:dyDescent="0.25">
      <c r="A3700" s="3" t="s">
        <v>49</v>
      </c>
      <c r="B3700" s="3" t="s">
        <v>174</v>
      </c>
      <c r="C3700" s="3">
        <v>10</v>
      </c>
      <c r="D3700" s="3">
        <v>10</v>
      </c>
      <c r="E3700" s="3">
        <v>9</v>
      </c>
      <c r="F3700" s="3">
        <v>1</v>
      </c>
      <c r="G3700" s="3">
        <v>0</v>
      </c>
    </row>
    <row r="3701" spans="1:7" x14ac:dyDescent="0.25">
      <c r="A3701" s="3" t="s">
        <v>49</v>
      </c>
      <c r="B3701" s="3" t="s">
        <v>176</v>
      </c>
      <c r="C3701" s="3">
        <v>11</v>
      </c>
      <c r="D3701" s="3">
        <v>11</v>
      </c>
      <c r="E3701" s="3">
        <v>11</v>
      </c>
      <c r="F3701" s="3">
        <v>0</v>
      </c>
      <c r="G3701" s="3">
        <v>0</v>
      </c>
    </row>
    <row r="3702" spans="1:7" x14ac:dyDescent="0.25">
      <c r="A3702" s="3" t="s">
        <v>44</v>
      </c>
      <c r="B3702" s="3" t="s">
        <v>175</v>
      </c>
      <c r="C3702" s="3">
        <v>4</v>
      </c>
      <c r="D3702" s="3">
        <v>4</v>
      </c>
      <c r="E3702" s="3">
        <v>4</v>
      </c>
      <c r="F3702" s="3">
        <v>0</v>
      </c>
      <c r="G3702" s="3">
        <v>0</v>
      </c>
    </row>
    <row r="3703" spans="1:7" x14ac:dyDescent="0.25">
      <c r="A3703" s="3" t="s">
        <v>44</v>
      </c>
      <c r="B3703" s="3" t="s">
        <v>11</v>
      </c>
      <c r="C3703" s="3">
        <v>1</v>
      </c>
      <c r="D3703" s="3">
        <v>1</v>
      </c>
      <c r="E3703" s="3">
        <v>1</v>
      </c>
      <c r="F3703" s="3">
        <v>0</v>
      </c>
      <c r="G3703" s="3">
        <v>0</v>
      </c>
    </row>
    <row r="3704" spans="1:7" x14ac:dyDescent="0.25">
      <c r="A3704" s="3" t="s">
        <v>44</v>
      </c>
      <c r="B3704" s="3" t="s">
        <v>174</v>
      </c>
      <c r="C3704" s="3">
        <v>4</v>
      </c>
      <c r="D3704" s="3">
        <v>4</v>
      </c>
      <c r="E3704" s="3">
        <v>4</v>
      </c>
      <c r="F3704" s="3">
        <v>0</v>
      </c>
      <c r="G3704" s="3">
        <v>0</v>
      </c>
    </row>
    <row r="3705" spans="1:7" x14ac:dyDescent="0.25">
      <c r="A3705" s="3" t="s">
        <v>44</v>
      </c>
      <c r="B3705" s="3" t="s">
        <v>176</v>
      </c>
      <c r="C3705" s="3">
        <v>3</v>
      </c>
      <c r="D3705" s="3">
        <v>3</v>
      </c>
      <c r="E3705" s="3">
        <v>3</v>
      </c>
      <c r="F3705" s="3">
        <v>0</v>
      </c>
      <c r="G3705" s="3">
        <v>0</v>
      </c>
    </row>
    <row r="3706" spans="1:7" x14ac:dyDescent="0.25">
      <c r="A3706" s="3" t="s">
        <v>115</v>
      </c>
      <c r="B3706" s="3" t="s">
        <v>174</v>
      </c>
      <c r="C3706" s="3">
        <v>2</v>
      </c>
      <c r="D3706" s="3">
        <v>2</v>
      </c>
      <c r="E3706" s="3">
        <v>2</v>
      </c>
      <c r="F3706" s="3">
        <v>0</v>
      </c>
      <c r="G3706" s="3">
        <v>0</v>
      </c>
    </row>
    <row r="3707" spans="1:7" x14ac:dyDescent="0.25">
      <c r="A3707" s="3" t="s">
        <v>115</v>
      </c>
      <c r="B3707" s="3" t="s">
        <v>11</v>
      </c>
      <c r="C3707" s="3">
        <v>3</v>
      </c>
      <c r="D3707" s="3">
        <v>3</v>
      </c>
      <c r="E3707" s="3">
        <v>3</v>
      </c>
      <c r="F3707" s="3">
        <v>0</v>
      </c>
      <c r="G3707" s="3">
        <v>0</v>
      </c>
    </row>
    <row r="3708" spans="1:7" x14ac:dyDescent="0.25">
      <c r="A3708" s="3" t="s">
        <v>115</v>
      </c>
      <c r="B3708" s="3" t="s">
        <v>176</v>
      </c>
      <c r="C3708" s="3">
        <v>3</v>
      </c>
      <c r="D3708" s="3">
        <v>3</v>
      </c>
      <c r="E3708" s="3">
        <v>3</v>
      </c>
      <c r="F3708" s="3">
        <v>0</v>
      </c>
      <c r="G3708" s="3">
        <v>0</v>
      </c>
    </row>
    <row r="3709" spans="1:7" x14ac:dyDescent="0.25">
      <c r="A3709" s="3" t="s">
        <v>127</v>
      </c>
      <c r="B3709" s="3" t="s">
        <v>175</v>
      </c>
      <c r="C3709" s="3">
        <v>7</v>
      </c>
      <c r="D3709" s="3">
        <v>7</v>
      </c>
      <c r="E3709" s="3">
        <v>7</v>
      </c>
      <c r="F3709" s="3">
        <v>0</v>
      </c>
      <c r="G3709" s="3">
        <v>0</v>
      </c>
    </row>
    <row r="3710" spans="1:7" x14ac:dyDescent="0.25">
      <c r="A3710" s="3" t="s">
        <v>122</v>
      </c>
      <c r="B3710" s="3" t="s">
        <v>11</v>
      </c>
      <c r="C3710" s="3">
        <v>9</v>
      </c>
      <c r="D3710" s="3">
        <v>9</v>
      </c>
      <c r="E3710" s="3">
        <v>8</v>
      </c>
      <c r="F3710" s="3">
        <v>1</v>
      </c>
      <c r="G3710" s="3">
        <v>0</v>
      </c>
    </row>
    <row r="3711" spans="1:7" x14ac:dyDescent="0.25">
      <c r="A3711" s="3" t="s">
        <v>122</v>
      </c>
      <c r="B3711" s="3" t="s">
        <v>175</v>
      </c>
      <c r="C3711" s="3">
        <v>9</v>
      </c>
      <c r="D3711" s="3">
        <v>7</v>
      </c>
      <c r="E3711" s="3">
        <v>6</v>
      </c>
      <c r="F3711" s="3">
        <v>1</v>
      </c>
      <c r="G3711" s="3">
        <v>0</v>
      </c>
    </row>
    <row r="3712" spans="1:7" x14ac:dyDescent="0.25">
      <c r="A3712" s="3" t="s">
        <v>122</v>
      </c>
      <c r="B3712" s="3" t="s">
        <v>176</v>
      </c>
      <c r="C3712" s="3">
        <v>14</v>
      </c>
      <c r="D3712" s="3">
        <v>13</v>
      </c>
      <c r="E3712" s="3">
        <v>13</v>
      </c>
      <c r="F3712" s="3">
        <v>0</v>
      </c>
      <c r="G3712" s="3">
        <v>0</v>
      </c>
    </row>
    <row r="3713" spans="1:7" x14ac:dyDescent="0.25">
      <c r="A3713" s="3" t="s">
        <v>122</v>
      </c>
      <c r="B3713" s="3" t="s">
        <v>174</v>
      </c>
      <c r="C3713" s="3">
        <v>11</v>
      </c>
      <c r="D3713" s="3">
        <v>11</v>
      </c>
      <c r="E3713" s="3">
        <v>11</v>
      </c>
      <c r="F3713" s="3">
        <v>0</v>
      </c>
      <c r="G3713" s="3">
        <v>0</v>
      </c>
    </row>
    <row r="3714" spans="1:7" x14ac:dyDescent="0.25">
      <c r="A3714" s="3" t="s">
        <v>124</v>
      </c>
      <c r="B3714" s="3" t="s">
        <v>174</v>
      </c>
      <c r="C3714" s="3">
        <v>1</v>
      </c>
      <c r="D3714" s="3">
        <v>1</v>
      </c>
      <c r="E3714" s="3">
        <v>1</v>
      </c>
      <c r="F3714" s="3">
        <v>0</v>
      </c>
      <c r="G3714" s="3">
        <v>0</v>
      </c>
    </row>
    <row r="3715" spans="1:7" x14ac:dyDescent="0.25">
      <c r="A3715" s="3" t="s">
        <v>124</v>
      </c>
      <c r="B3715" s="3" t="s">
        <v>11</v>
      </c>
      <c r="C3715" s="3">
        <v>2</v>
      </c>
      <c r="D3715" s="3">
        <v>2</v>
      </c>
      <c r="E3715" s="3">
        <v>1</v>
      </c>
      <c r="F3715" s="3">
        <v>1</v>
      </c>
      <c r="G3715" s="3">
        <v>0</v>
      </c>
    </row>
    <row r="3716" spans="1:7" x14ac:dyDescent="0.25">
      <c r="A3716" s="3" t="s">
        <v>124</v>
      </c>
      <c r="B3716" s="3" t="s">
        <v>175</v>
      </c>
      <c r="C3716" s="3">
        <v>2</v>
      </c>
      <c r="D3716" s="3">
        <v>2</v>
      </c>
      <c r="E3716" s="3">
        <v>2</v>
      </c>
      <c r="F3716" s="3">
        <v>0</v>
      </c>
      <c r="G3716" s="3">
        <v>0</v>
      </c>
    </row>
    <row r="3717" spans="1:7" x14ac:dyDescent="0.25">
      <c r="A3717" s="3" t="s">
        <v>173</v>
      </c>
      <c r="B3717" s="3" t="s">
        <v>174</v>
      </c>
      <c r="C3717" s="3">
        <v>2</v>
      </c>
      <c r="D3717" s="3">
        <v>2</v>
      </c>
      <c r="E3717" s="3">
        <v>2</v>
      </c>
      <c r="F3717" s="3">
        <v>0</v>
      </c>
      <c r="G3717" s="3">
        <v>0</v>
      </c>
    </row>
    <row r="3718" spans="1:7" x14ac:dyDescent="0.25">
      <c r="A3718" s="3" t="s">
        <v>173</v>
      </c>
      <c r="B3718" s="3" t="s">
        <v>175</v>
      </c>
      <c r="C3718" s="3">
        <v>1</v>
      </c>
      <c r="D3718" s="3">
        <v>1</v>
      </c>
      <c r="E3718" s="3">
        <v>1</v>
      </c>
      <c r="F3718" s="3">
        <v>0</v>
      </c>
      <c r="G3718" s="3">
        <v>0</v>
      </c>
    </row>
    <row r="3719" spans="1:7" x14ac:dyDescent="0.25">
      <c r="A3719" s="3" t="s">
        <v>173</v>
      </c>
      <c r="B3719" s="3" t="s">
        <v>176</v>
      </c>
      <c r="C3719" s="3">
        <v>3</v>
      </c>
      <c r="D3719" s="3">
        <v>3</v>
      </c>
      <c r="E3719" s="3">
        <v>3</v>
      </c>
      <c r="F3719" s="3">
        <v>0</v>
      </c>
      <c r="G3719" s="3">
        <v>0</v>
      </c>
    </row>
    <row r="3720" spans="1:7" x14ac:dyDescent="0.25">
      <c r="A3720" s="3" t="s">
        <v>130</v>
      </c>
      <c r="B3720" s="3" t="s">
        <v>174</v>
      </c>
      <c r="C3720" s="3">
        <v>6</v>
      </c>
      <c r="D3720" s="3">
        <v>6</v>
      </c>
      <c r="E3720" s="3">
        <v>3</v>
      </c>
      <c r="F3720" s="3">
        <v>3</v>
      </c>
      <c r="G3720" s="3">
        <v>0</v>
      </c>
    </row>
    <row r="3721" spans="1:7" x14ac:dyDescent="0.25">
      <c r="A3721" s="3" t="s">
        <v>130</v>
      </c>
      <c r="B3721" s="3" t="s">
        <v>11</v>
      </c>
      <c r="C3721" s="3">
        <v>3</v>
      </c>
      <c r="D3721" s="3">
        <v>3</v>
      </c>
      <c r="E3721" s="3">
        <v>3</v>
      </c>
      <c r="F3721" s="3">
        <v>0</v>
      </c>
      <c r="G3721" s="3">
        <v>0</v>
      </c>
    </row>
    <row r="3722" spans="1:7" x14ac:dyDescent="0.25">
      <c r="A3722" s="3" t="s">
        <v>130</v>
      </c>
      <c r="B3722" s="3" t="s">
        <v>175</v>
      </c>
      <c r="C3722" s="3">
        <v>8</v>
      </c>
      <c r="D3722" s="3">
        <v>8</v>
      </c>
      <c r="E3722" s="3">
        <v>7</v>
      </c>
      <c r="F3722" s="3">
        <v>1</v>
      </c>
      <c r="G3722" s="3">
        <v>0</v>
      </c>
    </row>
    <row r="3723" spans="1:7" x14ac:dyDescent="0.25">
      <c r="A3723" s="3" t="s">
        <v>130</v>
      </c>
      <c r="B3723" s="3" t="s">
        <v>176</v>
      </c>
      <c r="C3723" s="3">
        <v>13</v>
      </c>
      <c r="D3723" s="3">
        <v>13</v>
      </c>
      <c r="E3723" s="3">
        <v>9</v>
      </c>
      <c r="F3723" s="3">
        <v>4</v>
      </c>
      <c r="G3723" s="3">
        <v>0</v>
      </c>
    </row>
    <row r="3724" spans="1:7" x14ac:dyDescent="0.25">
      <c r="A3724" s="3" t="s">
        <v>76</v>
      </c>
      <c r="B3724" s="3" t="s">
        <v>174</v>
      </c>
      <c r="C3724" s="3">
        <v>7</v>
      </c>
      <c r="D3724" s="3">
        <v>7</v>
      </c>
      <c r="E3724" s="3">
        <v>7</v>
      </c>
      <c r="F3724" s="3">
        <v>0</v>
      </c>
      <c r="G3724" s="3">
        <v>0</v>
      </c>
    </row>
    <row r="3725" spans="1:7" x14ac:dyDescent="0.25">
      <c r="A3725" s="3" t="s">
        <v>76</v>
      </c>
      <c r="B3725" s="3" t="s">
        <v>11</v>
      </c>
      <c r="C3725" s="3">
        <v>2</v>
      </c>
      <c r="D3725" s="3">
        <v>2</v>
      </c>
      <c r="E3725" s="3">
        <v>2</v>
      </c>
      <c r="F3725" s="3">
        <v>0</v>
      </c>
      <c r="G3725" s="3">
        <v>0</v>
      </c>
    </row>
    <row r="3726" spans="1:7" x14ac:dyDescent="0.25">
      <c r="A3726" s="3" t="s">
        <v>76</v>
      </c>
      <c r="B3726" s="3" t="s">
        <v>175</v>
      </c>
      <c r="C3726" s="3">
        <v>17</v>
      </c>
      <c r="D3726" s="3">
        <v>16</v>
      </c>
      <c r="E3726" s="3">
        <v>14</v>
      </c>
      <c r="F3726" s="3">
        <v>2</v>
      </c>
      <c r="G3726" s="3">
        <v>0</v>
      </c>
    </row>
    <row r="3727" spans="1:7" x14ac:dyDescent="0.25">
      <c r="A3727" s="3" t="s">
        <v>76</v>
      </c>
      <c r="B3727" s="3" t="s">
        <v>176</v>
      </c>
      <c r="C3727" s="3">
        <v>2</v>
      </c>
      <c r="D3727" s="3">
        <v>2</v>
      </c>
      <c r="E3727" s="3">
        <v>2</v>
      </c>
      <c r="F3727" s="3">
        <v>0</v>
      </c>
      <c r="G3727" s="3">
        <v>0</v>
      </c>
    </row>
    <row r="3728" spans="1:7" x14ac:dyDescent="0.25">
      <c r="A3728" s="3" t="s">
        <v>150</v>
      </c>
      <c r="B3728" s="3" t="s">
        <v>176</v>
      </c>
      <c r="C3728" s="3">
        <v>1</v>
      </c>
      <c r="D3728" s="3">
        <v>1</v>
      </c>
      <c r="E3728" s="3">
        <v>1</v>
      </c>
      <c r="F3728" s="3">
        <v>0</v>
      </c>
      <c r="G3728" s="3">
        <v>0</v>
      </c>
    </row>
    <row r="3729" spans="1:7" x14ac:dyDescent="0.25">
      <c r="A3729" s="3" t="s">
        <v>150</v>
      </c>
      <c r="B3729" s="3" t="s">
        <v>175</v>
      </c>
      <c r="C3729" s="3">
        <v>2</v>
      </c>
      <c r="D3729" s="3">
        <v>2</v>
      </c>
      <c r="E3729" s="3">
        <v>1</v>
      </c>
      <c r="F3729" s="3">
        <v>1</v>
      </c>
      <c r="G3729" s="3">
        <v>0</v>
      </c>
    </row>
    <row r="3730" spans="1:7" x14ac:dyDescent="0.25">
      <c r="A3730" s="3" t="s">
        <v>137</v>
      </c>
      <c r="B3730" s="3" t="s">
        <v>11</v>
      </c>
      <c r="C3730" s="3">
        <v>10</v>
      </c>
      <c r="D3730" s="3">
        <v>10</v>
      </c>
      <c r="E3730" s="3">
        <v>8</v>
      </c>
      <c r="F3730" s="3">
        <v>2</v>
      </c>
      <c r="G3730" s="3">
        <v>0</v>
      </c>
    </row>
    <row r="3731" spans="1:7" x14ac:dyDescent="0.25">
      <c r="A3731" s="3" t="s">
        <v>137</v>
      </c>
      <c r="B3731" s="3" t="s">
        <v>176</v>
      </c>
      <c r="C3731" s="3">
        <v>7</v>
      </c>
      <c r="D3731" s="3">
        <v>7</v>
      </c>
      <c r="E3731" s="3">
        <v>6</v>
      </c>
      <c r="F3731" s="3">
        <v>1</v>
      </c>
      <c r="G3731" s="3">
        <v>0</v>
      </c>
    </row>
    <row r="3732" spans="1:7" x14ac:dyDescent="0.25">
      <c r="A3732" s="3" t="s">
        <v>137</v>
      </c>
      <c r="B3732" s="3" t="s">
        <v>175</v>
      </c>
      <c r="C3732" s="3">
        <v>35</v>
      </c>
      <c r="D3732" s="3">
        <v>30</v>
      </c>
      <c r="E3732" s="3">
        <v>29</v>
      </c>
      <c r="F3732" s="3">
        <v>1</v>
      </c>
      <c r="G3732" s="3">
        <v>2</v>
      </c>
    </row>
    <row r="3733" spans="1:7" x14ac:dyDescent="0.25">
      <c r="A3733" s="3" t="s">
        <v>137</v>
      </c>
      <c r="B3733" s="3" t="s">
        <v>174</v>
      </c>
      <c r="C3733" s="3">
        <v>26</v>
      </c>
      <c r="D3733" s="3">
        <v>24</v>
      </c>
      <c r="E3733" s="3">
        <v>19</v>
      </c>
      <c r="F3733" s="3">
        <v>5</v>
      </c>
      <c r="G3733" s="3">
        <v>0</v>
      </c>
    </row>
    <row r="3734" spans="1:7" x14ac:dyDescent="0.25">
      <c r="A3734" s="3" t="s">
        <v>180</v>
      </c>
      <c r="B3734" s="3" t="s">
        <v>11</v>
      </c>
      <c r="C3734" s="3">
        <v>1</v>
      </c>
      <c r="D3734" s="3">
        <v>1</v>
      </c>
      <c r="E3734" s="3">
        <v>0</v>
      </c>
      <c r="F3734" s="3">
        <v>1</v>
      </c>
      <c r="G3734" s="3">
        <v>0</v>
      </c>
    </row>
    <row r="3735" spans="1:7" x14ac:dyDescent="0.25">
      <c r="A3735" s="3" t="s">
        <v>180</v>
      </c>
      <c r="B3735" s="3" t="s">
        <v>176</v>
      </c>
      <c r="C3735" s="3">
        <v>5</v>
      </c>
      <c r="D3735" s="3">
        <v>5</v>
      </c>
      <c r="E3735" s="3">
        <v>5</v>
      </c>
      <c r="F3735" s="3">
        <v>0</v>
      </c>
      <c r="G3735" s="3">
        <v>0</v>
      </c>
    </row>
    <row r="3736" spans="1:7" x14ac:dyDescent="0.25">
      <c r="A3736" s="3" t="s">
        <v>180</v>
      </c>
      <c r="B3736" s="3" t="s">
        <v>175</v>
      </c>
      <c r="C3736" s="3">
        <v>2</v>
      </c>
      <c r="D3736" s="3">
        <v>2</v>
      </c>
      <c r="E3736" s="3">
        <v>1</v>
      </c>
      <c r="F3736" s="3">
        <v>1</v>
      </c>
      <c r="G3736" s="3">
        <v>0</v>
      </c>
    </row>
    <row r="3737" spans="1:7" x14ac:dyDescent="0.25">
      <c r="A3737" s="3" t="s">
        <v>70</v>
      </c>
      <c r="B3737" s="3" t="s">
        <v>11</v>
      </c>
      <c r="C3737" s="3">
        <v>7</v>
      </c>
      <c r="D3737" s="3">
        <v>7</v>
      </c>
      <c r="E3737" s="3">
        <v>6</v>
      </c>
      <c r="F3737" s="3">
        <v>1</v>
      </c>
      <c r="G3737" s="3">
        <v>0</v>
      </c>
    </row>
    <row r="3738" spans="1:7" x14ac:dyDescent="0.25">
      <c r="A3738" s="3" t="s">
        <v>70</v>
      </c>
      <c r="B3738" s="3" t="s">
        <v>174</v>
      </c>
      <c r="C3738" s="3">
        <v>7</v>
      </c>
      <c r="D3738" s="3">
        <v>7</v>
      </c>
      <c r="E3738" s="3">
        <v>7</v>
      </c>
      <c r="F3738" s="3">
        <v>0</v>
      </c>
      <c r="G3738" s="3">
        <v>0</v>
      </c>
    </row>
    <row r="3739" spans="1:7" x14ac:dyDescent="0.25">
      <c r="A3739" s="3" t="s">
        <v>70</v>
      </c>
      <c r="B3739" s="3" t="s">
        <v>175</v>
      </c>
      <c r="C3739" s="3">
        <v>11</v>
      </c>
      <c r="D3739" s="3">
        <v>11</v>
      </c>
      <c r="E3739" s="3">
        <v>9</v>
      </c>
      <c r="F3739" s="3">
        <v>2</v>
      </c>
      <c r="G3739" s="3">
        <v>0</v>
      </c>
    </row>
    <row r="3740" spans="1:7" x14ac:dyDescent="0.25">
      <c r="A3740" s="3" t="s">
        <v>70</v>
      </c>
      <c r="B3740" s="3" t="s">
        <v>176</v>
      </c>
      <c r="C3740" s="3">
        <v>2</v>
      </c>
      <c r="D3740" s="3">
        <v>2</v>
      </c>
      <c r="E3740" s="3">
        <v>2</v>
      </c>
      <c r="F3740" s="3">
        <v>0</v>
      </c>
      <c r="G3740" s="3">
        <v>0</v>
      </c>
    </row>
  </sheetData>
  <autoFilter ref="A2:G2753">
    <sortState ref="A3:G2818">
      <sortCondition ref="A3:A2818"/>
    </sortState>
  </autoFilter>
  <sortState ref="A2772:G3740">
    <sortCondition sortBy="cellColor" ref="A2772:A3740" dxfId="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0"/>
  <sheetViews>
    <sheetView topLeftCell="A646" workbookViewId="0">
      <selection activeCell="A2772" sqref="A2772:G3279"/>
    </sheetView>
  </sheetViews>
  <sheetFormatPr defaultRowHeight="15" x14ac:dyDescent="0.25"/>
  <cols>
    <col min="1" max="1" width="20.5703125" customWidth="1"/>
    <col min="2" max="2" width="54.85546875" customWidth="1"/>
    <col min="7" max="7" width="9.7109375" customWidth="1"/>
  </cols>
  <sheetData>
    <row r="1" spans="1:13" x14ac:dyDescent="0.25">
      <c r="I1">
        <v>67218</v>
      </c>
      <c r="J1">
        <v>63338</v>
      </c>
      <c r="K1">
        <v>47683</v>
      </c>
      <c r="L1">
        <v>15655</v>
      </c>
      <c r="M1">
        <v>254</v>
      </c>
    </row>
    <row r="2" spans="1:13" x14ac:dyDescent="0.25">
      <c r="A2" s="1" t="s">
        <v>12</v>
      </c>
      <c r="B2" s="1" t="s">
        <v>0</v>
      </c>
      <c r="C2" s="1" t="s">
        <v>13</v>
      </c>
      <c r="D2" s="1" t="s">
        <v>14</v>
      </c>
      <c r="E2" s="1" t="s">
        <v>15</v>
      </c>
      <c r="F2" s="1" t="s">
        <v>16</v>
      </c>
      <c r="G2" s="1" t="s">
        <v>17</v>
      </c>
      <c r="I2">
        <v>5453</v>
      </c>
      <c r="J2">
        <v>5143</v>
      </c>
      <c r="K2">
        <v>3908</v>
      </c>
      <c r="L2">
        <v>1235</v>
      </c>
      <c r="M2">
        <v>36</v>
      </c>
    </row>
    <row r="3" spans="1:13" x14ac:dyDescent="0.25">
      <c r="A3" t="s">
        <v>190</v>
      </c>
      <c r="B3" t="s">
        <v>2</v>
      </c>
      <c r="C3">
        <v>159</v>
      </c>
      <c r="D3">
        <v>118</v>
      </c>
      <c r="E3">
        <f>71+28</f>
        <v>99</v>
      </c>
      <c r="F3">
        <f>55-41+5</f>
        <v>19</v>
      </c>
      <c r="G3">
        <v>1</v>
      </c>
      <c r="I3" s="3">
        <f>+I1-I2</f>
        <v>61765</v>
      </c>
      <c r="J3" s="3">
        <f>+K3+L3</f>
        <v>57885</v>
      </c>
      <c r="K3" s="3">
        <f>+K1</f>
        <v>47683</v>
      </c>
      <c r="L3" s="3">
        <f>+L1-I2</f>
        <v>10202</v>
      </c>
      <c r="M3" s="3">
        <f>+M1</f>
        <v>254</v>
      </c>
    </row>
    <row r="4" spans="1:13" x14ac:dyDescent="0.25">
      <c r="A4" s="3" t="s">
        <v>190</v>
      </c>
      <c r="B4" s="3" t="s">
        <v>2</v>
      </c>
      <c r="C4" s="3">
        <v>123</v>
      </c>
      <c r="D4" s="3">
        <v>106</v>
      </c>
      <c r="E4" s="3">
        <v>87</v>
      </c>
      <c r="F4" s="3">
        <v>19</v>
      </c>
      <c r="G4" s="3">
        <v>0</v>
      </c>
      <c r="I4">
        <v>61765</v>
      </c>
      <c r="J4">
        <v>57885</v>
      </c>
      <c r="K4">
        <v>47683</v>
      </c>
      <c r="L4">
        <v>10202</v>
      </c>
      <c r="M4">
        <v>254</v>
      </c>
    </row>
    <row r="5" spans="1:13" x14ac:dyDescent="0.25">
      <c r="A5" t="s">
        <v>190</v>
      </c>
      <c r="B5" t="s">
        <v>4</v>
      </c>
      <c r="C5">
        <v>55</v>
      </c>
      <c r="D5">
        <v>0</v>
      </c>
      <c r="E5">
        <v>0</v>
      </c>
      <c r="F5">
        <v>0</v>
      </c>
      <c r="G5">
        <v>1</v>
      </c>
    </row>
    <row r="6" spans="1:13" x14ac:dyDescent="0.25">
      <c r="A6" s="3" t="s">
        <v>190</v>
      </c>
      <c r="B6" s="3" t="s">
        <v>4</v>
      </c>
      <c r="C6" s="3">
        <v>1</v>
      </c>
      <c r="D6" s="3">
        <v>0</v>
      </c>
      <c r="E6" s="3">
        <v>0</v>
      </c>
      <c r="F6" s="3">
        <v>0</v>
      </c>
      <c r="G6" s="3">
        <v>0</v>
      </c>
    </row>
    <row r="7" spans="1:13" x14ac:dyDescent="0.25">
      <c r="A7" s="3" t="s">
        <v>190</v>
      </c>
      <c r="B7" s="3" t="s">
        <v>4</v>
      </c>
      <c r="C7" s="3">
        <v>6</v>
      </c>
      <c r="D7" s="3">
        <v>0</v>
      </c>
      <c r="E7" s="3">
        <v>0</v>
      </c>
      <c r="F7" s="3">
        <v>0</v>
      </c>
      <c r="G7" s="3">
        <v>0</v>
      </c>
    </row>
    <row r="8" spans="1:13" x14ac:dyDescent="0.25">
      <c r="A8" t="s">
        <v>190</v>
      </c>
      <c r="B8" t="s">
        <v>5</v>
      </c>
      <c r="C8">
        <v>211</v>
      </c>
      <c r="D8">
        <v>176</v>
      </c>
      <c r="E8">
        <v>33</v>
      </c>
      <c r="F8">
        <v>143</v>
      </c>
      <c r="G8">
        <v>0</v>
      </c>
      <c r="I8" s="4"/>
      <c r="J8" s="4"/>
      <c r="K8" s="4"/>
      <c r="L8" s="4"/>
    </row>
    <row r="9" spans="1:13" x14ac:dyDescent="0.25">
      <c r="A9" s="3" t="s">
        <v>190</v>
      </c>
      <c r="B9" s="3" t="s">
        <v>5</v>
      </c>
      <c r="C9" s="3">
        <v>214</v>
      </c>
      <c r="D9" s="3">
        <v>172</v>
      </c>
      <c r="E9" s="3">
        <f>68+41</f>
        <v>109</v>
      </c>
      <c r="F9" s="3">
        <f>117-92+38</f>
        <v>63</v>
      </c>
      <c r="G9" s="3">
        <v>2</v>
      </c>
      <c r="I9" s="4"/>
      <c r="J9" s="4"/>
      <c r="K9" s="4"/>
      <c r="L9" s="4"/>
    </row>
    <row r="10" spans="1:13" x14ac:dyDescent="0.25">
      <c r="A10" t="s">
        <v>190</v>
      </c>
      <c r="B10" t="s">
        <v>185</v>
      </c>
      <c r="C10">
        <f>322+89</f>
        <v>411</v>
      </c>
      <c r="D10">
        <v>350</v>
      </c>
      <c r="E10">
        <f>91+97</f>
        <v>188</v>
      </c>
      <c r="F10">
        <f>274-161+49</f>
        <v>162</v>
      </c>
      <c r="G10">
        <v>0</v>
      </c>
      <c r="I10" s="4"/>
      <c r="J10" s="4"/>
      <c r="K10" s="4"/>
      <c r="L10" s="4"/>
    </row>
    <row r="11" spans="1:13" x14ac:dyDescent="0.25">
      <c r="A11" s="3" t="s">
        <v>190</v>
      </c>
      <c r="B11" s="3" t="s">
        <v>185</v>
      </c>
      <c r="C11" s="3">
        <v>331</v>
      </c>
      <c r="D11" s="3">
        <v>296</v>
      </c>
      <c r="E11" s="3">
        <v>141</v>
      </c>
      <c r="F11" s="3">
        <v>155</v>
      </c>
      <c r="G11" s="3">
        <v>4</v>
      </c>
      <c r="I11" s="4"/>
      <c r="J11" s="4"/>
      <c r="K11" s="4"/>
      <c r="L11" s="4"/>
    </row>
    <row r="12" spans="1:13" x14ac:dyDescent="0.25">
      <c r="A12" t="s">
        <v>190</v>
      </c>
      <c r="B12" t="s">
        <v>186</v>
      </c>
      <c r="C12">
        <f>1428+79</f>
        <v>1507</v>
      </c>
      <c r="D12">
        <v>1245</v>
      </c>
      <c r="E12">
        <f>460+269</f>
        <v>729</v>
      </c>
      <c r="F12">
        <f>866-606+256</f>
        <v>516</v>
      </c>
      <c r="G12">
        <v>4</v>
      </c>
      <c r="I12" s="4"/>
      <c r="J12" s="4"/>
      <c r="K12" s="4"/>
      <c r="L12" s="4"/>
    </row>
    <row r="13" spans="1:13" x14ac:dyDescent="0.25">
      <c r="A13" s="3" t="s">
        <v>190</v>
      </c>
      <c r="B13" s="3" t="s">
        <v>186</v>
      </c>
      <c r="C13" s="3">
        <v>1083</v>
      </c>
      <c r="D13" s="3">
        <v>844</v>
      </c>
      <c r="E13" s="3">
        <v>489</v>
      </c>
      <c r="F13" s="3">
        <v>355</v>
      </c>
      <c r="G13" s="3">
        <v>3</v>
      </c>
      <c r="I13" s="4"/>
      <c r="J13" s="4"/>
      <c r="K13" s="4"/>
      <c r="L13" s="4"/>
    </row>
    <row r="14" spans="1:13" x14ac:dyDescent="0.25">
      <c r="A14" t="s">
        <v>190</v>
      </c>
      <c r="B14" t="s">
        <v>189</v>
      </c>
      <c r="C14">
        <v>8</v>
      </c>
      <c r="D14">
        <v>8</v>
      </c>
      <c r="E14">
        <v>2</v>
      </c>
      <c r="F14">
        <v>6</v>
      </c>
      <c r="G14">
        <v>0</v>
      </c>
      <c r="I14" s="4"/>
      <c r="J14" s="4"/>
      <c r="K14" s="4"/>
      <c r="L14" s="4"/>
    </row>
    <row r="15" spans="1:13" x14ac:dyDescent="0.25">
      <c r="A15" s="3" t="s">
        <v>190</v>
      </c>
      <c r="B15" s="3" t="s">
        <v>189</v>
      </c>
      <c r="C15" s="3">
        <v>9</v>
      </c>
      <c r="D15" s="3">
        <v>9</v>
      </c>
      <c r="E15" s="3">
        <f>6+1</f>
        <v>7</v>
      </c>
      <c r="F15" s="3">
        <f>3-1+0</f>
        <v>2</v>
      </c>
      <c r="G15" s="3">
        <v>0</v>
      </c>
      <c r="I15" s="4"/>
      <c r="J15" s="4"/>
      <c r="K15" s="4"/>
      <c r="L15" s="4"/>
    </row>
    <row r="16" spans="1:13" x14ac:dyDescent="0.25">
      <c r="A16" t="s">
        <v>190</v>
      </c>
      <c r="B16" t="s">
        <v>187</v>
      </c>
      <c r="C16">
        <f>446+1</f>
        <v>447</v>
      </c>
      <c r="D16">
        <f>410+1</f>
        <v>411</v>
      </c>
      <c r="E16">
        <f>154+0</f>
        <v>154</v>
      </c>
      <c r="F16">
        <f>256+1</f>
        <v>257</v>
      </c>
      <c r="G16">
        <v>0</v>
      </c>
      <c r="I16" s="4">
        <f>606-525</f>
        <v>81</v>
      </c>
      <c r="J16" s="4"/>
      <c r="K16" s="4"/>
      <c r="L16" s="4"/>
    </row>
    <row r="17" spans="1:12" x14ac:dyDescent="0.25">
      <c r="A17" s="3" t="s">
        <v>190</v>
      </c>
      <c r="B17" s="3" t="s">
        <v>187</v>
      </c>
      <c r="C17" s="3">
        <v>322</v>
      </c>
      <c r="D17" s="3">
        <v>281</v>
      </c>
      <c r="E17" s="3">
        <f>126+86</f>
        <v>212</v>
      </c>
      <c r="F17" s="3">
        <f>171-151+49</f>
        <v>69</v>
      </c>
      <c r="G17" s="3">
        <v>0</v>
      </c>
      <c r="I17" s="4"/>
      <c r="J17" s="4"/>
      <c r="K17" s="4"/>
      <c r="L17" s="4"/>
    </row>
    <row r="18" spans="1:12" x14ac:dyDescent="0.25">
      <c r="A18" t="s">
        <v>190</v>
      </c>
      <c r="B18" t="s">
        <v>6</v>
      </c>
      <c r="C18">
        <v>632</v>
      </c>
      <c r="D18">
        <v>612</v>
      </c>
      <c r="E18">
        <v>610</v>
      </c>
      <c r="F18">
        <v>2</v>
      </c>
      <c r="G18">
        <v>2</v>
      </c>
      <c r="I18" s="4"/>
      <c r="J18" s="4"/>
      <c r="K18" s="4"/>
      <c r="L18" s="4"/>
    </row>
    <row r="19" spans="1:12" x14ac:dyDescent="0.25">
      <c r="A19" s="3" t="s">
        <v>190</v>
      </c>
      <c r="B19" s="3" t="s">
        <v>6</v>
      </c>
      <c r="C19" s="3">
        <v>379</v>
      </c>
      <c r="D19" s="3">
        <v>351</v>
      </c>
      <c r="E19" s="3">
        <v>348</v>
      </c>
      <c r="F19" s="3">
        <v>3</v>
      </c>
      <c r="G19" s="3">
        <v>0</v>
      </c>
    </row>
    <row r="20" spans="1:12" x14ac:dyDescent="0.25">
      <c r="A20" t="s">
        <v>190</v>
      </c>
      <c r="B20" t="s">
        <v>7</v>
      </c>
      <c r="C20">
        <v>503</v>
      </c>
      <c r="D20">
        <v>420</v>
      </c>
      <c r="E20">
        <v>200</v>
      </c>
      <c r="F20">
        <v>220</v>
      </c>
      <c r="G20">
        <v>1</v>
      </c>
    </row>
    <row r="21" spans="1:12" x14ac:dyDescent="0.25">
      <c r="A21" s="3" t="s">
        <v>190</v>
      </c>
      <c r="B21" s="3" t="s">
        <v>7</v>
      </c>
      <c r="C21" s="3">
        <v>229</v>
      </c>
      <c r="D21" s="3">
        <v>203</v>
      </c>
      <c r="E21" s="3">
        <v>78</v>
      </c>
      <c r="F21" s="3">
        <v>125</v>
      </c>
      <c r="G21" s="3">
        <v>0</v>
      </c>
    </row>
    <row r="22" spans="1:12" x14ac:dyDescent="0.25">
      <c r="A22" t="s">
        <v>190</v>
      </c>
      <c r="B22" t="s">
        <v>8</v>
      </c>
      <c r="C22">
        <v>246</v>
      </c>
      <c r="D22">
        <v>207</v>
      </c>
      <c r="E22">
        <v>99</v>
      </c>
      <c r="F22">
        <v>108</v>
      </c>
      <c r="G22">
        <v>0</v>
      </c>
    </row>
    <row r="23" spans="1:12" x14ac:dyDescent="0.25">
      <c r="A23" s="3" t="s">
        <v>190</v>
      </c>
      <c r="B23" s="3" t="s">
        <v>8</v>
      </c>
      <c r="C23" s="3">
        <v>188</v>
      </c>
      <c r="D23" s="3">
        <v>171</v>
      </c>
      <c r="E23" s="3">
        <v>61</v>
      </c>
      <c r="F23" s="3">
        <v>110</v>
      </c>
      <c r="G23" s="3">
        <v>0</v>
      </c>
    </row>
    <row r="24" spans="1:12" x14ac:dyDescent="0.25">
      <c r="A24" t="s">
        <v>190</v>
      </c>
      <c r="B24" t="s">
        <v>9</v>
      </c>
      <c r="C24">
        <v>140</v>
      </c>
      <c r="D24">
        <v>130</v>
      </c>
      <c r="E24">
        <v>114</v>
      </c>
      <c r="F24">
        <v>16</v>
      </c>
      <c r="G24">
        <v>0</v>
      </c>
    </row>
    <row r="25" spans="1:12" x14ac:dyDescent="0.25">
      <c r="A25" s="3" t="s">
        <v>190</v>
      </c>
      <c r="B25" s="3" t="s">
        <v>9</v>
      </c>
      <c r="C25" s="3">
        <v>56</v>
      </c>
      <c r="D25" s="3">
        <v>49</v>
      </c>
      <c r="E25" s="3">
        <v>35</v>
      </c>
      <c r="F25" s="3">
        <v>14</v>
      </c>
      <c r="G25" s="3">
        <v>0</v>
      </c>
    </row>
    <row r="26" spans="1:12" x14ac:dyDescent="0.25">
      <c r="A26" t="s">
        <v>190</v>
      </c>
      <c r="B26" t="s">
        <v>10</v>
      </c>
      <c r="C26">
        <v>368</v>
      </c>
      <c r="D26">
        <v>351</v>
      </c>
      <c r="E26">
        <v>288</v>
      </c>
      <c r="F26">
        <v>63</v>
      </c>
      <c r="G26">
        <v>1</v>
      </c>
    </row>
    <row r="27" spans="1:12" x14ac:dyDescent="0.25">
      <c r="A27" s="3" t="s">
        <v>190</v>
      </c>
      <c r="B27" s="3" t="s">
        <v>10</v>
      </c>
      <c r="C27" s="3">
        <v>337</v>
      </c>
      <c r="D27" s="3">
        <v>337</v>
      </c>
      <c r="E27" s="3">
        <v>225</v>
      </c>
      <c r="F27" s="3">
        <v>112</v>
      </c>
      <c r="G27" s="3">
        <v>0</v>
      </c>
    </row>
    <row r="28" spans="1:12" x14ac:dyDescent="0.25">
      <c r="A28" t="s">
        <v>190</v>
      </c>
      <c r="B28" t="s">
        <v>177</v>
      </c>
      <c r="C28">
        <v>82</v>
      </c>
      <c r="D28">
        <v>65</v>
      </c>
      <c r="E28">
        <v>64</v>
      </c>
      <c r="F28">
        <v>1</v>
      </c>
      <c r="G28">
        <v>0</v>
      </c>
    </row>
    <row r="29" spans="1:12" x14ac:dyDescent="0.25">
      <c r="A29" s="3" t="s">
        <v>190</v>
      </c>
      <c r="B29" s="3" t="s">
        <v>177</v>
      </c>
      <c r="C29" s="3">
        <v>45</v>
      </c>
      <c r="D29" s="3">
        <v>13</v>
      </c>
      <c r="E29" s="3">
        <v>13</v>
      </c>
      <c r="F29" s="3">
        <v>0</v>
      </c>
      <c r="G29" s="3">
        <v>1</v>
      </c>
    </row>
    <row r="30" spans="1:12" x14ac:dyDescent="0.25">
      <c r="A30" t="s">
        <v>72</v>
      </c>
      <c r="B30" t="s">
        <v>1</v>
      </c>
      <c r="C30">
        <v>4</v>
      </c>
      <c r="D30">
        <v>4</v>
      </c>
      <c r="E30">
        <v>4</v>
      </c>
      <c r="F30">
        <v>0</v>
      </c>
      <c r="G30">
        <v>0</v>
      </c>
    </row>
    <row r="31" spans="1:12" x14ac:dyDescent="0.25">
      <c r="A31" s="3" t="s">
        <v>72</v>
      </c>
      <c r="B31" s="3" t="s">
        <v>1</v>
      </c>
      <c r="C31" s="3">
        <v>1</v>
      </c>
      <c r="D31" s="3">
        <v>1</v>
      </c>
      <c r="E31" s="3">
        <v>1</v>
      </c>
      <c r="F31" s="3">
        <v>0</v>
      </c>
      <c r="G31" s="3">
        <v>0</v>
      </c>
    </row>
    <row r="32" spans="1:12" x14ac:dyDescent="0.25">
      <c r="A32" t="s">
        <v>72</v>
      </c>
      <c r="B32" t="s">
        <v>2</v>
      </c>
      <c r="C32">
        <v>5</v>
      </c>
      <c r="D32">
        <v>4</v>
      </c>
      <c r="E32">
        <v>4</v>
      </c>
      <c r="F32">
        <v>0</v>
      </c>
      <c r="G32">
        <v>1</v>
      </c>
    </row>
    <row r="33" spans="1:7" x14ac:dyDescent="0.25">
      <c r="A33" s="3" t="s">
        <v>72</v>
      </c>
      <c r="B33" s="3" t="s">
        <v>2</v>
      </c>
      <c r="C33" s="3">
        <v>15</v>
      </c>
      <c r="D33" s="3">
        <v>15</v>
      </c>
      <c r="E33" s="3">
        <v>15</v>
      </c>
      <c r="F33" s="3">
        <v>0</v>
      </c>
      <c r="G33" s="3">
        <v>0</v>
      </c>
    </row>
    <row r="34" spans="1:7" x14ac:dyDescent="0.25">
      <c r="A34" s="3" t="s">
        <v>72</v>
      </c>
      <c r="B34" s="3" t="s">
        <v>27</v>
      </c>
      <c r="C34" s="3">
        <v>1</v>
      </c>
      <c r="D34" s="3">
        <v>0</v>
      </c>
      <c r="E34" s="3">
        <v>0</v>
      </c>
      <c r="F34" s="3">
        <v>0</v>
      </c>
      <c r="G34" s="3">
        <v>0</v>
      </c>
    </row>
    <row r="35" spans="1:7" x14ac:dyDescent="0.25">
      <c r="A35" t="s">
        <v>72</v>
      </c>
      <c r="B35" t="s">
        <v>4</v>
      </c>
      <c r="C35">
        <v>3</v>
      </c>
      <c r="D35">
        <v>0</v>
      </c>
      <c r="E35">
        <v>0</v>
      </c>
      <c r="F35">
        <v>0</v>
      </c>
      <c r="G35">
        <v>0</v>
      </c>
    </row>
    <row r="36" spans="1:7" x14ac:dyDescent="0.25">
      <c r="A36" s="3" t="s">
        <v>72</v>
      </c>
      <c r="B36" s="3" t="s">
        <v>4</v>
      </c>
      <c r="C36" s="3">
        <v>1</v>
      </c>
      <c r="D36" s="3">
        <v>0</v>
      </c>
      <c r="E36" s="3">
        <v>0</v>
      </c>
      <c r="F36" s="3">
        <v>0</v>
      </c>
      <c r="G36" s="3">
        <v>0</v>
      </c>
    </row>
    <row r="37" spans="1:7" x14ac:dyDescent="0.25">
      <c r="A37" t="s">
        <v>72</v>
      </c>
      <c r="B37" t="s">
        <v>5</v>
      </c>
      <c r="C37">
        <v>124</v>
      </c>
      <c r="D37">
        <v>117</v>
      </c>
      <c r="E37">
        <f>92+19</f>
        <v>111</v>
      </c>
      <c r="F37">
        <f>25-22+3</f>
        <v>6</v>
      </c>
      <c r="G37">
        <v>0</v>
      </c>
    </row>
    <row r="38" spans="1:7" x14ac:dyDescent="0.25">
      <c r="A38" s="3" t="s">
        <v>72</v>
      </c>
      <c r="B38" s="3" t="s">
        <v>5</v>
      </c>
      <c r="C38" s="3">
        <v>123</v>
      </c>
      <c r="D38" s="3">
        <v>121</v>
      </c>
      <c r="E38" s="3">
        <v>110</v>
      </c>
      <c r="F38" s="3">
        <v>11</v>
      </c>
      <c r="G38" s="3">
        <v>0</v>
      </c>
    </row>
    <row r="39" spans="1:7" x14ac:dyDescent="0.25">
      <c r="A39" t="s">
        <v>72</v>
      </c>
      <c r="B39" t="s">
        <v>185</v>
      </c>
      <c r="C39">
        <f>129+39</f>
        <v>168</v>
      </c>
      <c r="D39">
        <v>158</v>
      </c>
      <c r="E39">
        <f>91+41</f>
        <v>132</v>
      </c>
      <c r="F39">
        <f>68-56+14</f>
        <v>26</v>
      </c>
      <c r="G39">
        <v>0</v>
      </c>
    </row>
    <row r="40" spans="1:7" x14ac:dyDescent="0.25">
      <c r="A40" s="3" t="s">
        <v>72</v>
      </c>
      <c r="B40" s="3" t="s">
        <v>185</v>
      </c>
      <c r="C40" s="3">
        <v>136</v>
      </c>
      <c r="D40" s="3">
        <v>132</v>
      </c>
      <c r="E40" s="3">
        <v>106</v>
      </c>
      <c r="F40" s="3">
        <v>26</v>
      </c>
      <c r="G40" s="3">
        <v>0</v>
      </c>
    </row>
    <row r="41" spans="1:7" x14ac:dyDescent="0.25">
      <c r="A41" t="s">
        <v>72</v>
      </c>
      <c r="B41" t="s">
        <v>186</v>
      </c>
      <c r="C41">
        <f>195+23</f>
        <v>218</v>
      </c>
      <c r="D41">
        <v>206</v>
      </c>
      <c r="E41">
        <f>165+27</f>
        <v>192</v>
      </c>
      <c r="F41">
        <f>42-32+4</f>
        <v>14</v>
      </c>
      <c r="G41">
        <v>0</v>
      </c>
    </row>
    <row r="42" spans="1:7" x14ac:dyDescent="0.25">
      <c r="A42" s="3" t="s">
        <v>72</v>
      </c>
      <c r="B42" s="3" t="s">
        <v>186</v>
      </c>
      <c r="C42" s="3">
        <v>148</v>
      </c>
      <c r="D42" s="3">
        <v>140</v>
      </c>
      <c r="E42" s="3">
        <v>132</v>
      </c>
      <c r="F42" s="3">
        <v>8</v>
      </c>
      <c r="G42" s="3">
        <v>0</v>
      </c>
    </row>
    <row r="43" spans="1:7" x14ac:dyDescent="0.25">
      <c r="A43" t="s">
        <v>72</v>
      </c>
      <c r="B43" t="s">
        <v>187</v>
      </c>
      <c r="C43">
        <v>142</v>
      </c>
      <c r="D43">
        <v>136</v>
      </c>
      <c r="E43">
        <f>71+30</f>
        <v>101</v>
      </c>
      <c r="F43">
        <f>66-39+8</f>
        <v>35</v>
      </c>
      <c r="G43">
        <v>0</v>
      </c>
    </row>
    <row r="44" spans="1:7" x14ac:dyDescent="0.25">
      <c r="A44" s="3" t="s">
        <v>72</v>
      </c>
      <c r="B44" s="3" t="s">
        <v>187</v>
      </c>
      <c r="C44" s="3">
        <v>122</v>
      </c>
      <c r="D44" s="3">
        <v>114</v>
      </c>
      <c r="E44" s="3">
        <v>76</v>
      </c>
      <c r="F44" s="3">
        <v>38</v>
      </c>
      <c r="G44" s="3">
        <v>0</v>
      </c>
    </row>
    <row r="45" spans="1:7" x14ac:dyDescent="0.25">
      <c r="A45" t="s">
        <v>72</v>
      </c>
      <c r="B45" t="s">
        <v>6</v>
      </c>
      <c r="C45">
        <v>145</v>
      </c>
      <c r="D45">
        <v>136</v>
      </c>
      <c r="E45">
        <v>136</v>
      </c>
      <c r="F45">
        <v>0</v>
      </c>
      <c r="G45">
        <v>0</v>
      </c>
    </row>
    <row r="46" spans="1:7" x14ac:dyDescent="0.25">
      <c r="A46" s="3" t="s">
        <v>72</v>
      </c>
      <c r="B46" s="3" t="s">
        <v>6</v>
      </c>
      <c r="C46" s="3">
        <v>73</v>
      </c>
      <c r="D46" s="3">
        <v>72</v>
      </c>
      <c r="E46" s="3">
        <v>70</v>
      </c>
      <c r="F46" s="3">
        <v>2</v>
      </c>
      <c r="G46" s="3">
        <v>0</v>
      </c>
    </row>
    <row r="47" spans="1:7" x14ac:dyDescent="0.25">
      <c r="A47" t="s">
        <v>72</v>
      </c>
      <c r="B47" t="s">
        <v>7</v>
      </c>
      <c r="C47">
        <v>52</v>
      </c>
      <c r="D47">
        <v>50</v>
      </c>
      <c r="E47">
        <v>44</v>
      </c>
      <c r="F47">
        <v>6</v>
      </c>
      <c r="G47">
        <v>0</v>
      </c>
    </row>
    <row r="48" spans="1:7" x14ac:dyDescent="0.25">
      <c r="A48" s="3" t="s">
        <v>72</v>
      </c>
      <c r="B48" s="3" t="s">
        <v>7</v>
      </c>
      <c r="C48" s="3">
        <v>22</v>
      </c>
      <c r="D48" s="3">
        <v>18</v>
      </c>
      <c r="E48" s="3">
        <v>12</v>
      </c>
      <c r="F48" s="3">
        <v>6</v>
      </c>
      <c r="G48" s="3">
        <v>0</v>
      </c>
    </row>
    <row r="49" spans="1:7" x14ac:dyDescent="0.25">
      <c r="A49" t="s">
        <v>72</v>
      </c>
      <c r="B49" t="s">
        <v>8</v>
      </c>
      <c r="C49">
        <v>70</v>
      </c>
      <c r="D49">
        <v>67</v>
      </c>
      <c r="E49">
        <v>58</v>
      </c>
      <c r="F49">
        <v>9</v>
      </c>
      <c r="G49">
        <v>0</v>
      </c>
    </row>
    <row r="50" spans="1:7" x14ac:dyDescent="0.25">
      <c r="A50" s="3" t="s">
        <v>72</v>
      </c>
      <c r="B50" s="3" t="s">
        <v>8</v>
      </c>
      <c r="C50" s="3">
        <v>72</v>
      </c>
      <c r="D50" s="3">
        <v>71</v>
      </c>
      <c r="E50" s="3">
        <v>59</v>
      </c>
      <c r="F50" s="3">
        <v>12</v>
      </c>
      <c r="G50" s="3">
        <v>0</v>
      </c>
    </row>
    <row r="51" spans="1:7" x14ac:dyDescent="0.25">
      <c r="A51" t="s">
        <v>72</v>
      </c>
      <c r="B51" t="s">
        <v>9</v>
      </c>
      <c r="C51">
        <v>57</v>
      </c>
      <c r="D51">
        <v>55</v>
      </c>
      <c r="E51">
        <v>51</v>
      </c>
      <c r="F51">
        <v>4</v>
      </c>
      <c r="G51">
        <v>0</v>
      </c>
    </row>
    <row r="52" spans="1:7" x14ac:dyDescent="0.25">
      <c r="A52" s="3" t="s">
        <v>72</v>
      </c>
      <c r="B52" s="3" t="s">
        <v>9</v>
      </c>
      <c r="C52" s="3">
        <v>38</v>
      </c>
      <c r="D52" s="3">
        <v>38</v>
      </c>
      <c r="E52" s="3">
        <v>33</v>
      </c>
      <c r="F52" s="3">
        <v>5</v>
      </c>
      <c r="G52" s="3">
        <v>0</v>
      </c>
    </row>
    <row r="53" spans="1:7" x14ac:dyDescent="0.25">
      <c r="A53" t="s">
        <v>72</v>
      </c>
      <c r="B53" t="s">
        <v>10</v>
      </c>
      <c r="C53">
        <v>165</v>
      </c>
      <c r="D53">
        <v>163</v>
      </c>
      <c r="E53">
        <v>148</v>
      </c>
      <c r="F53">
        <v>15</v>
      </c>
      <c r="G53">
        <v>0</v>
      </c>
    </row>
    <row r="54" spans="1:7" x14ac:dyDescent="0.25">
      <c r="A54" s="3" t="s">
        <v>72</v>
      </c>
      <c r="B54" s="3" t="s">
        <v>10</v>
      </c>
      <c r="C54" s="3">
        <v>155</v>
      </c>
      <c r="D54" s="3">
        <v>152</v>
      </c>
      <c r="E54" s="3">
        <v>118</v>
      </c>
      <c r="F54" s="3">
        <v>34</v>
      </c>
      <c r="G54" s="3">
        <v>0</v>
      </c>
    </row>
    <row r="55" spans="1:7" x14ac:dyDescent="0.25">
      <c r="A55" t="s">
        <v>72</v>
      </c>
      <c r="B55" t="s">
        <v>177</v>
      </c>
      <c r="C55">
        <v>81</v>
      </c>
      <c r="D55">
        <v>81</v>
      </c>
      <c r="E55">
        <v>78</v>
      </c>
      <c r="F55">
        <v>3</v>
      </c>
      <c r="G55">
        <v>0</v>
      </c>
    </row>
    <row r="56" spans="1:7" x14ac:dyDescent="0.25">
      <c r="A56" s="3" t="s">
        <v>72</v>
      </c>
      <c r="B56" s="3" t="s">
        <v>177</v>
      </c>
      <c r="C56" s="3">
        <v>113</v>
      </c>
      <c r="D56" s="3">
        <v>112</v>
      </c>
      <c r="E56" s="3">
        <v>111</v>
      </c>
      <c r="F56" s="3">
        <v>1</v>
      </c>
      <c r="G56" s="3">
        <v>1</v>
      </c>
    </row>
    <row r="57" spans="1:7" x14ac:dyDescent="0.25">
      <c r="A57" t="s">
        <v>109</v>
      </c>
      <c r="B57" t="s">
        <v>2</v>
      </c>
      <c r="C57">
        <v>23</v>
      </c>
      <c r="D57">
        <v>19</v>
      </c>
      <c r="E57">
        <f>10+4</f>
        <v>14</v>
      </c>
      <c r="F57">
        <f>10-10+5</f>
        <v>5</v>
      </c>
      <c r="G57">
        <v>0</v>
      </c>
    </row>
    <row r="58" spans="1:7" x14ac:dyDescent="0.25">
      <c r="A58" s="3" t="s">
        <v>109</v>
      </c>
      <c r="B58" s="3" t="s">
        <v>2</v>
      </c>
      <c r="C58" s="3">
        <v>8</v>
      </c>
      <c r="D58" s="3">
        <v>7</v>
      </c>
      <c r="E58" s="3">
        <v>5</v>
      </c>
      <c r="F58" s="3">
        <v>2</v>
      </c>
      <c r="G58" s="3">
        <v>0</v>
      </c>
    </row>
    <row r="59" spans="1:7" x14ac:dyDescent="0.25">
      <c r="A59" t="s">
        <v>109</v>
      </c>
      <c r="B59" t="s">
        <v>5</v>
      </c>
      <c r="C59">
        <v>40</v>
      </c>
      <c r="D59">
        <v>40</v>
      </c>
      <c r="E59">
        <f>32+7</f>
        <v>39</v>
      </c>
      <c r="F59">
        <f>8-8+1</f>
        <v>1</v>
      </c>
      <c r="G59">
        <v>0</v>
      </c>
    </row>
    <row r="60" spans="1:7" x14ac:dyDescent="0.25">
      <c r="A60" s="3" t="s">
        <v>109</v>
      </c>
      <c r="B60" s="3" t="s">
        <v>5</v>
      </c>
      <c r="C60" s="3">
        <v>31</v>
      </c>
      <c r="D60" s="3">
        <v>30</v>
      </c>
      <c r="E60" s="3">
        <v>27</v>
      </c>
      <c r="F60" s="3">
        <v>3</v>
      </c>
      <c r="G60" s="3">
        <v>0</v>
      </c>
    </row>
    <row r="61" spans="1:7" x14ac:dyDescent="0.25">
      <c r="A61" t="s">
        <v>109</v>
      </c>
      <c r="B61" t="s">
        <v>185</v>
      </c>
      <c r="C61">
        <f>69+4</f>
        <v>73</v>
      </c>
      <c r="D61">
        <f>69+4</f>
        <v>73</v>
      </c>
      <c r="E61">
        <f>51+19</f>
        <v>70</v>
      </c>
      <c r="F61">
        <f>22-21+2</f>
        <v>3</v>
      </c>
      <c r="G61">
        <v>0</v>
      </c>
    </row>
    <row r="62" spans="1:7" x14ac:dyDescent="0.25">
      <c r="A62" s="3" t="s">
        <v>109</v>
      </c>
      <c r="B62" s="3" t="s">
        <v>185</v>
      </c>
      <c r="C62" s="3">
        <v>34</v>
      </c>
      <c r="D62" s="3">
        <v>34</v>
      </c>
      <c r="E62" s="3">
        <v>26</v>
      </c>
      <c r="F62" s="3">
        <v>8</v>
      </c>
      <c r="G62" s="3">
        <v>0</v>
      </c>
    </row>
    <row r="63" spans="1:7" x14ac:dyDescent="0.25">
      <c r="A63" t="s">
        <v>109</v>
      </c>
      <c r="B63" t="s">
        <v>186</v>
      </c>
      <c r="C63">
        <f>113+6</f>
        <v>119</v>
      </c>
      <c r="D63">
        <v>115</v>
      </c>
      <c r="E63">
        <f>55+26</f>
        <v>81</v>
      </c>
      <c r="F63">
        <f>61-46+19</f>
        <v>34</v>
      </c>
      <c r="G63">
        <v>1</v>
      </c>
    </row>
    <row r="64" spans="1:7" x14ac:dyDescent="0.25">
      <c r="A64" s="3" t="s">
        <v>109</v>
      </c>
      <c r="B64" s="3" t="s">
        <v>186</v>
      </c>
      <c r="C64" s="3">
        <v>52</v>
      </c>
      <c r="D64" s="3">
        <v>48</v>
      </c>
      <c r="E64" s="3">
        <v>27</v>
      </c>
      <c r="F64" s="3">
        <v>21</v>
      </c>
      <c r="G64" s="3">
        <v>0</v>
      </c>
    </row>
    <row r="65" spans="1:7" x14ac:dyDescent="0.25">
      <c r="A65" t="s">
        <v>109</v>
      </c>
      <c r="B65" t="s">
        <v>189</v>
      </c>
      <c r="C65">
        <v>1</v>
      </c>
      <c r="D65">
        <v>1</v>
      </c>
      <c r="E65">
        <v>1</v>
      </c>
      <c r="F65">
        <v>0</v>
      </c>
      <c r="G65">
        <v>0</v>
      </c>
    </row>
    <row r="66" spans="1:7" x14ac:dyDescent="0.25">
      <c r="A66" t="s">
        <v>109</v>
      </c>
      <c r="B66" t="s">
        <v>187</v>
      </c>
      <c r="C66">
        <f>109+2</f>
        <v>111</v>
      </c>
      <c r="D66">
        <f>108+2</f>
        <v>110</v>
      </c>
      <c r="E66">
        <f>70+27</f>
        <v>97</v>
      </c>
      <c r="F66">
        <f>40-31+4</f>
        <v>13</v>
      </c>
      <c r="G66">
        <v>0</v>
      </c>
    </row>
    <row r="67" spans="1:7" x14ac:dyDescent="0.25">
      <c r="A67" s="3" t="s">
        <v>109</v>
      </c>
      <c r="B67" s="3" t="s">
        <v>187</v>
      </c>
      <c r="C67" s="3">
        <v>38</v>
      </c>
      <c r="D67" s="3">
        <v>38</v>
      </c>
      <c r="E67" s="3">
        <v>28</v>
      </c>
      <c r="F67" s="3">
        <v>10</v>
      </c>
      <c r="G67" s="3">
        <v>0</v>
      </c>
    </row>
    <row r="68" spans="1:7" x14ac:dyDescent="0.25">
      <c r="A68" t="s">
        <v>109</v>
      </c>
      <c r="B68" t="s">
        <v>6</v>
      </c>
      <c r="C68">
        <v>130</v>
      </c>
      <c r="D68">
        <v>129</v>
      </c>
      <c r="E68">
        <v>128</v>
      </c>
      <c r="F68">
        <v>1</v>
      </c>
      <c r="G68">
        <v>0</v>
      </c>
    </row>
    <row r="69" spans="1:7" x14ac:dyDescent="0.25">
      <c r="A69" s="3" t="s">
        <v>109</v>
      </c>
      <c r="B69" s="3" t="s">
        <v>6</v>
      </c>
      <c r="C69" s="3">
        <v>12</v>
      </c>
      <c r="D69" s="3">
        <v>12</v>
      </c>
      <c r="E69" s="3">
        <v>12</v>
      </c>
      <c r="F69" s="3">
        <v>0</v>
      </c>
      <c r="G69" s="3">
        <v>0</v>
      </c>
    </row>
    <row r="70" spans="1:7" x14ac:dyDescent="0.25">
      <c r="A70" t="s">
        <v>109</v>
      </c>
      <c r="B70" t="s">
        <v>7</v>
      </c>
      <c r="C70">
        <v>1</v>
      </c>
      <c r="D70">
        <v>1</v>
      </c>
      <c r="E70">
        <v>0</v>
      </c>
      <c r="F70">
        <v>1</v>
      </c>
      <c r="G70">
        <v>0</v>
      </c>
    </row>
    <row r="71" spans="1:7" x14ac:dyDescent="0.25">
      <c r="A71" t="s">
        <v>109</v>
      </c>
      <c r="B71" t="s">
        <v>8</v>
      </c>
      <c r="C71">
        <v>26</v>
      </c>
      <c r="D71">
        <v>26</v>
      </c>
      <c r="E71">
        <v>18</v>
      </c>
      <c r="F71">
        <v>8</v>
      </c>
      <c r="G71">
        <v>0</v>
      </c>
    </row>
    <row r="72" spans="1:7" x14ac:dyDescent="0.25">
      <c r="A72" s="3" t="s">
        <v>109</v>
      </c>
      <c r="B72" s="3" t="s">
        <v>8</v>
      </c>
      <c r="C72" s="3">
        <v>4</v>
      </c>
      <c r="D72" s="3">
        <v>4</v>
      </c>
      <c r="E72" s="3">
        <v>2</v>
      </c>
      <c r="F72" s="3">
        <v>2</v>
      </c>
      <c r="G72" s="3">
        <v>0</v>
      </c>
    </row>
    <row r="73" spans="1:7" x14ac:dyDescent="0.25">
      <c r="A73" t="s">
        <v>109</v>
      </c>
      <c r="B73" t="s">
        <v>9</v>
      </c>
      <c r="C73">
        <v>4</v>
      </c>
      <c r="D73">
        <v>4</v>
      </c>
      <c r="E73">
        <v>3</v>
      </c>
      <c r="F73">
        <v>1</v>
      </c>
      <c r="G73">
        <v>0</v>
      </c>
    </row>
    <row r="74" spans="1:7" x14ac:dyDescent="0.25">
      <c r="A74" s="3" t="s">
        <v>109</v>
      </c>
      <c r="B74" s="3" t="s">
        <v>9</v>
      </c>
      <c r="C74" s="3">
        <v>3</v>
      </c>
      <c r="D74" s="3">
        <v>3</v>
      </c>
      <c r="E74" s="3">
        <v>2</v>
      </c>
      <c r="F74" s="3">
        <v>1</v>
      </c>
      <c r="G74" s="3">
        <v>0</v>
      </c>
    </row>
    <row r="75" spans="1:7" x14ac:dyDescent="0.25">
      <c r="A75" t="s">
        <v>109</v>
      </c>
      <c r="B75" t="s">
        <v>10</v>
      </c>
      <c r="C75">
        <v>80</v>
      </c>
      <c r="D75">
        <v>78</v>
      </c>
      <c r="E75">
        <v>59</v>
      </c>
      <c r="F75">
        <v>19</v>
      </c>
      <c r="G75">
        <v>0</v>
      </c>
    </row>
    <row r="76" spans="1:7" x14ac:dyDescent="0.25">
      <c r="A76" s="3" t="s">
        <v>109</v>
      </c>
      <c r="B76" s="3" t="s">
        <v>10</v>
      </c>
      <c r="C76" s="3">
        <v>26</v>
      </c>
      <c r="D76" s="3">
        <v>26</v>
      </c>
      <c r="E76" s="3">
        <v>17</v>
      </c>
      <c r="F76" s="3">
        <v>9</v>
      </c>
      <c r="G76" s="3">
        <v>0</v>
      </c>
    </row>
    <row r="77" spans="1:7" x14ac:dyDescent="0.25">
      <c r="A77" t="s">
        <v>109</v>
      </c>
      <c r="B77" t="s">
        <v>177</v>
      </c>
      <c r="C77">
        <v>21</v>
      </c>
      <c r="D77">
        <v>18</v>
      </c>
      <c r="E77">
        <v>18</v>
      </c>
      <c r="F77">
        <v>0</v>
      </c>
      <c r="G77">
        <v>0</v>
      </c>
    </row>
    <row r="78" spans="1:7" x14ac:dyDescent="0.25">
      <c r="A78" t="s">
        <v>133</v>
      </c>
      <c r="B78" t="s">
        <v>2</v>
      </c>
      <c r="C78">
        <v>18</v>
      </c>
      <c r="D78">
        <v>13</v>
      </c>
      <c r="E78">
        <f>9+2</f>
        <v>11</v>
      </c>
      <c r="F78">
        <f>4-2+0</f>
        <v>2</v>
      </c>
      <c r="G78">
        <v>0</v>
      </c>
    </row>
    <row r="79" spans="1:7" x14ac:dyDescent="0.25">
      <c r="A79" s="3" t="s">
        <v>133</v>
      </c>
      <c r="B79" s="3" t="s">
        <v>2</v>
      </c>
      <c r="C79" s="3">
        <v>9</v>
      </c>
      <c r="D79" s="3">
        <v>7</v>
      </c>
      <c r="E79" s="3">
        <v>6</v>
      </c>
      <c r="F79" s="3">
        <v>1</v>
      </c>
      <c r="G79" s="3">
        <v>0</v>
      </c>
    </row>
    <row r="80" spans="1:7" x14ac:dyDescent="0.25">
      <c r="A80" t="s">
        <v>133</v>
      </c>
      <c r="B80" t="s">
        <v>4</v>
      </c>
      <c r="C80">
        <v>5</v>
      </c>
      <c r="D80">
        <v>0</v>
      </c>
      <c r="E80">
        <v>0</v>
      </c>
      <c r="F80">
        <v>0</v>
      </c>
      <c r="G80">
        <v>0</v>
      </c>
    </row>
    <row r="81" spans="1:7" x14ac:dyDescent="0.25">
      <c r="A81" t="s">
        <v>133</v>
      </c>
      <c r="B81" t="s">
        <v>5</v>
      </c>
      <c r="C81">
        <v>66</v>
      </c>
      <c r="D81">
        <v>66</v>
      </c>
      <c r="E81">
        <f>44+16</f>
        <v>60</v>
      </c>
      <c r="F81">
        <f>22-17+1</f>
        <v>6</v>
      </c>
      <c r="G81">
        <v>0</v>
      </c>
    </row>
    <row r="82" spans="1:7" x14ac:dyDescent="0.25">
      <c r="A82" s="3" t="s">
        <v>133</v>
      </c>
      <c r="B82" s="3" t="s">
        <v>5</v>
      </c>
      <c r="C82" s="3">
        <v>52</v>
      </c>
      <c r="D82" s="3">
        <v>51</v>
      </c>
      <c r="E82" s="3">
        <v>40</v>
      </c>
      <c r="F82" s="3">
        <v>11</v>
      </c>
      <c r="G82" s="3">
        <v>0</v>
      </c>
    </row>
    <row r="83" spans="1:7" x14ac:dyDescent="0.25">
      <c r="A83" t="s">
        <v>133</v>
      </c>
      <c r="B83" t="s">
        <v>185</v>
      </c>
      <c r="C83">
        <f>74+21</f>
        <v>95</v>
      </c>
      <c r="D83">
        <f>74+21</f>
        <v>95</v>
      </c>
      <c r="E83">
        <f>60+17</f>
        <v>77</v>
      </c>
      <c r="F83">
        <f>35-29+12</f>
        <v>18</v>
      </c>
      <c r="G83">
        <v>0</v>
      </c>
    </row>
    <row r="84" spans="1:7" x14ac:dyDescent="0.25">
      <c r="A84" s="3" t="s">
        <v>133</v>
      </c>
      <c r="B84" s="3" t="s">
        <v>185</v>
      </c>
      <c r="C84" s="3">
        <v>81</v>
      </c>
      <c r="D84" s="3">
        <v>81</v>
      </c>
      <c r="E84" s="3">
        <v>63</v>
      </c>
      <c r="F84" s="3">
        <v>18</v>
      </c>
      <c r="G84" s="3">
        <v>0</v>
      </c>
    </row>
    <row r="85" spans="1:7" x14ac:dyDescent="0.25">
      <c r="A85" t="s">
        <v>133</v>
      </c>
      <c r="B85" t="s">
        <v>186</v>
      </c>
      <c r="C85">
        <f>100+4</f>
        <v>104</v>
      </c>
      <c r="D85">
        <f>97+4</f>
        <v>101</v>
      </c>
      <c r="E85">
        <f>60+30</f>
        <v>90</v>
      </c>
      <c r="F85">
        <f>41-34+4</f>
        <v>11</v>
      </c>
      <c r="G85">
        <v>0</v>
      </c>
    </row>
    <row r="86" spans="1:7" x14ac:dyDescent="0.25">
      <c r="A86" s="3" t="s">
        <v>133</v>
      </c>
      <c r="B86" s="3" t="s">
        <v>186</v>
      </c>
      <c r="C86" s="3">
        <v>96</v>
      </c>
      <c r="D86" s="3">
        <v>88</v>
      </c>
      <c r="E86" s="3">
        <v>70</v>
      </c>
      <c r="F86" s="3">
        <v>18</v>
      </c>
      <c r="G86" s="3">
        <v>0</v>
      </c>
    </row>
    <row r="87" spans="1:7" x14ac:dyDescent="0.25">
      <c r="A87" s="3" t="s">
        <v>133</v>
      </c>
      <c r="B87" s="3" t="s">
        <v>189</v>
      </c>
      <c r="C87" s="3">
        <v>1</v>
      </c>
      <c r="D87" s="3">
        <v>1</v>
      </c>
      <c r="E87" s="3">
        <v>0</v>
      </c>
      <c r="F87" s="3">
        <v>1</v>
      </c>
      <c r="G87" s="3">
        <v>0</v>
      </c>
    </row>
    <row r="88" spans="1:7" x14ac:dyDescent="0.25">
      <c r="A88" t="s">
        <v>133</v>
      </c>
      <c r="B88" t="s">
        <v>187</v>
      </c>
      <c r="C88">
        <f>112+4</f>
        <v>116</v>
      </c>
      <c r="D88">
        <f>112+4</f>
        <v>116</v>
      </c>
      <c r="E88">
        <f>69+22</f>
        <v>91</v>
      </c>
      <c r="F88">
        <f>47-27+5</f>
        <v>25</v>
      </c>
      <c r="G88">
        <v>0</v>
      </c>
    </row>
    <row r="89" spans="1:7" x14ac:dyDescent="0.25">
      <c r="A89" s="3" t="s">
        <v>133</v>
      </c>
      <c r="B89" s="3" t="s">
        <v>187</v>
      </c>
      <c r="C89" s="3">
        <v>105</v>
      </c>
      <c r="D89" s="3">
        <v>103</v>
      </c>
      <c r="E89" s="3">
        <v>84</v>
      </c>
      <c r="F89" s="3">
        <v>19</v>
      </c>
      <c r="G89" s="3">
        <v>1</v>
      </c>
    </row>
    <row r="90" spans="1:7" x14ac:dyDescent="0.25">
      <c r="A90" t="s">
        <v>133</v>
      </c>
      <c r="B90" t="s">
        <v>6</v>
      </c>
      <c r="C90">
        <v>54</v>
      </c>
      <c r="D90">
        <v>53</v>
      </c>
      <c r="E90">
        <v>52</v>
      </c>
      <c r="F90">
        <v>1</v>
      </c>
      <c r="G90">
        <v>0</v>
      </c>
    </row>
    <row r="91" spans="1:7" x14ac:dyDescent="0.25">
      <c r="A91" s="3" t="s">
        <v>133</v>
      </c>
      <c r="B91" s="3" t="s">
        <v>6</v>
      </c>
      <c r="C91" s="3">
        <v>18</v>
      </c>
      <c r="D91" s="3">
        <v>18</v>
      </c>
      <c r="E91" s="3">
        <v>18</v>
      </c>
      <c r="F91" s="3">
        <v>0</v>
      </c>
      <c r="G91" s="3">
        <v>0</v>
      </c>
    </row>
    <row r="92" spans="1:7" x14ac:dyDescent="0.25">
      <c r="A92" t="s">
        <v>133</v>
      </c>
      <c r="B92" t="s">
        <v>7</v>
      </c>
      <c r="C92">
        <v>25</v>
      </c>
      <c r="D92">
        <v>22</v>
      </c>
      <c r="E92">
        <v>22</v>
      </c>
      <c r="F92">
        <v>0</v>
      </c>
      <c r="G92">
        <v>0</v>
      </c>
    </row>
    <row r="93" spans="1:7" x14ac:dyDescent="0.25">
      <c r="A93" s="3" t="s">
        <v>133</v>
      </c>
      <c r="B93" s="3" t="s">
        <v>7</v>
      </c>
      <c r="C93" s="3">
        <v>10</v>
      </c>
      <c r="D93" s="3">
        <v>9</v>
      </c>
      <c r="E93" s="3">
        <v>8</v>
      </c>
      <c r="F93" s="3">
        <v>1</v>
      </c>
      <c r="G93" s="3">
        <v>0</v>
      </c>
    </row>
    <row r="94" spans="1:7" x14ac:dyDescent="0.25">
      <c r="A94" t="s">
        <v>133</v>
      </c>
      <c r="B94" t="s">
        <v>8</v>
      </c>
      <c r="C94">
        <v>18</v>
      </c>
      <c r="D94">
        <v>17</v>
      </c>
      <c r="E94">
        <v>17</v>
      </c>
      <c r="F94">
        <v>0</v>
      </c>
      <c r="G94">
        <v>0</v>
      </c>
    </row>
    <row r="95" spans="1:7" x14ac:dyDescent="0.25">
      <c r="A95" s="3" t="s">
        <v>133</v>
      </c>
      <c r="B95" s="3" t="s">
        <v>8</v>
      </c>
      <c r="C95" s="3">
        <v>40</v>
      </c>
      <c r="D95" s="3">
        <v>40</v>
      </c>
      <c r="E95" s="3">
        <v>37</v>
      </c>
      <c r="F95" s="3">
        <v>3</v>
      </c>
      <c r="G95" s="3">
        <v>0</v>
      </c>
    </row>
    <row r="96" spans="1:7" x14ac:dyDescent="0.25">
      <c r="A96" t="s">
        <v>133</v>
      </c>
      <c r="B96" t="s">
        <v>9</v>
      </c>
      <c r="C96">
        <v>14</v>
      </c>
      <c r="D96">
        <v>13</v>
      </c>
      <c r="E96">
        <v>13</v>
      </c>
      <c r="F96">
        <v>0</v>
      </c>
      <c r="G96">
        <v>0</v>
      </c>
    </row>
    <row r="97" spans="1:7" x14ac:dyDescent="0.25">
      <c r="A97" s="3" t="s">
        <v>133</v>
      </c>
      <c r="B97" s="3" t="s">
        <v>9</v>
      </c>
      <c r="C97" s="3">
        <v>20</v>
      </c>
      <c r="D97" s="3">
        <v>20</v>
      </c>
      <c r="E97" s="3">
        <v>20</v>
      </c>
      <c r="F97" s="3">
        <v>0</v>
      </c>
      <c r="G97" s="3">
        <v>0</v>
      </c>
    </row>
    <row r="98" spans="1:7" x14ac:dyDescent="0.25">
      <c r="A98" t="s">
        <v>133</v>
      </c>
      <c r="B98" t="s">
        <v>10</v>
      </c>
      <c r="C98">
        <v>123</v>
      </c>
      <c r="D98">
        <v>123</v>
      </c>
      <c r="E98">
        <v>108</v>
      </c>
      <c r="F98">
        <v>15</v>
      </c>
      <c r="G98">
        <v>0</v>
      </c>
    </row>
    <row r="99" spans="1:7" x14ac:dyDescent="0.25">
      <c r="A99" s="3" t="s">
        <v>133</v>
      </c>
      <c r="B99" s="3" t="s">
        <v>10</v>
      </c>
      <c r="C99" s="3">
        <v>122</v>
      </c>
      <c r="D99" s="3">
        <v>122</v>
      </c>
      <c r="E99" s="3">
        <v>107</v>
      </c>
      <c r="F99" s="3">
        <v>15</v>
      </c>
      <c r="G99" s="3">
        <v>0</v>
      </c>
    </row>
    <row r="100" spans="1:7" x14ac:dyDescent="0.25">
      <c r="A100" t="s">
        <v>133</v>
      </c>
      <c r="B100" t="s">
        <v>177</v>
      </c>
      <c r="C100">
        <v>9</v>
      </c>
      <c r="D100">
        <v>8</v>
      </c>
      <c r="E100">
        <v>8</v>
      </c>
      <c r="F100">
        <v>0</v>
      </c>
      <c r="G100">
        <v>0</v>
      </c>
    </row>
    <row r="101" spans="1:7" x14ac:dyDescent="0.25">
      <c r="A101" t="s">
        <v>96</v>
      </c>
      <c r="B101" t="s">
        <v>2</v>
      </c>
      <c r="C101">
        <v>2</v>
      </c>
      <c r="D101">
        <v>2</v>
      </c>
      <c r="E101">
        <v>2</v>
      </c>
      <c r="F101">
        <v>0</v>
      </c>
      <c r="G101">
        <v>0</v>
      </c>
    </row>
    <row r="102" spans="1:7" x14ac:dyDescent="0.25">
      <c r="A102" t="s">
        <v>96</v>
      </c>
      <c r="B102" t="s">
        <v>97</v>
      </c>
      <c r="C102">
        <v>1</v>
      </c>
      <c r="D102">
        <v>0</v>
      </c>
      <c r="E102">
        <v>0</v>
      </c>
      <c r="F102">
        <v>0</v>
      </c>
      <c r="G102">
        <v>0</v>
      </c>
    </row>
    <row r="103" spans="1:7" x14ac:dyDescent="0.25">
      <c r="A103" t="s">
        <v>96</v>
      </c>
      <c r="B103" t="s">
        <v>4</v>
      </c>
      <c r="C103">
        <v>1</v>
      </c>
      <c r="D103">
        <v>0</v>
      </c>
      <c r="E103">
        <v>0</v>
      </c>
      <c r="F103">
        <v>0</v>
      </c>
      <c r="G103">
        <v>0</v>
      </c>
    </row>
    <row r="104" spans="1:7" x14ac:dyDescent="0.25">
      <c r="A104" t="s">
        <v>96</v>
      </c>
      <c r="B104" t="s">
        <v>5</v>
      </c>
      <c r="C104">
        <v>40</v>
      </c>
      <c r="D104">
        <v>40</v>
      </c>
      <c r="E104">
        <v>18</v>
      </c>
      <c r="F104">
        <v>22</v>
      </c>
      <c r="G104">
        <v>0</v>
      </c>
    </row>
    <row r="105" spans="1:7" x14ac:dyDescent="0.25">
      <c r="A105" s="3" t="s">
        <v>96</v>
      </c>
      <c r="B105" s="3" t="s">
        <v>5</v>
      </c>
      <c r="C105" s="3">
        <v>43</v>
      </c>
      <c r="D105" s="3">
        <v>41</v>
      </c>
      <c r="E105" s="3">
        <f>26+11</f>
        <v>37</v>
      </c>
      <c r="F105" s="3">
        <f>16-16+4</f>
        <v>4</v>
      </c>
      <c r="G105" s="3">
        <v>1</v>
      </c>
    </row>
    <row r="106" spans="1:7" x14ac:dyDescent="0.25">
      <c r="A106" t="s">
        <v>96</v>
      </c>
      <c r="B106" t="s">
        <v>185</v>
      </c>
      <c r="C106">
        <f>23+2</f>
        <v>25</v>
      </c>
      <c r="D106">
        <f>23+2</f>
        <v>25</v>
      </c>
      <c r="E106">
        <f>11+2</f>
        <v>13</v>
      </c>
      <c r="F106">
        <v>12</v>
      </c>
      <c r="G106">
        <v>0</v>
      </c>
    </row>
    <row r="107" spans="1:7" x14ac:dyDescent="0.25">
      <c r="A107" s="3" t="s">
        <v>96</v>
      </c>
      <c r="B107" s="3" t="s">
        <v>185</v>
      </c>
      <c r="C107" s="3">
        <v>26</v>
      </c>
      <c r="D107" s="3">
        <v>26</v>
      </c>
      <c r="E107" s="3">
        <f>15+10</f>
        <v>25</v>
      </c>
      <c r="F107" s="3">
        <f>11-11+1</f>
        <v>1</v>
      </c>
      <c r="G107" s="3">
        <v>0</v>
      </c>
    </row>
    <row r="108" spans="1:7" x14ac:dyDescent="0.25">
      <c r="A108" t="s">
        <v>96</v>
      </c>
      <c r="B108" t="s">
        <v>186</v>
      </c>
      <c r="C108">
        <f>28+2</f>
        <v>30</v>
      </c>
      <c r="D108">
        <v>28</v>
      </c>
      <c r="E108">
        <f>21+4</f>
        <v>25</v>
      </c>
      <c r="F108">
        <f>8-6+1</f>
        <v>3</v>
      </c>
      <c r="G108">
        <v>1</v>
      </c>
    </row>
    <row r="109" spans="1:7" x14ac:dyDescent="0.25">
      <c r="A109" s="3" t="s">
        <v>96</v>
      </c>
      <c r="B109" s="3" t="s">
        <v>186</v>
      </c>
      <c r="C109" s="3">
        <v>36</v>
      </c>
      <c r="D109" s="3">
        <v>33</v>
      </c>
      <c r="E109" s="3">
        <v>26</v>
      </c>
      <c r="F109" s="3">
        <v>7</v>
      </c>
      <c r="G109" s="3">
        <v>1</v>
      </c>
    </row>
    <row r="110" spans="1:7" x14ac:dyDescent="0.25">
      <c r="A110" s="3" t="s">
        <v>96</v>
      </c>
      <c r="B110" s="3" t="s">
        <v>189</v>
      </c>
      <c r="C110" s="3">
        <v>1</v>
      </c>
      <c r="D110" s="3">
        <v>1</v>
      </c>
      <c r="E110" s="3">
        <v>0</v>
      </c>
      <c r="F110" s="3">
        <v>1</v>
      </c>
      <c r="G110" s="3">
        <v>0</v>
      </c>
    </row>
    <row r="111" spans="1:7" x14ac:dyDescent="0.25">
      <c r="A111" t="s">
        <v>96</v>
      </c>
      <c r="B111" t="s">
        <v>187</v>
      </c>
      <c r="C111">
        <f>74+1</f>
        <v>75</v>
      </c>
      <c r="D111">
        <f>72+1</f>
        <v>73</v>
      </c>
      <c r="E111">
        <v>42</v>
      </c>
      <c r="F111">
        <f>30+1</f>
        <v>31</v>
      </c>
      <c r="G111">
        <v>1</v>
      </c>
    </row>
    <row r="112" spans="1:7" x14ac:dyDescent="0.25">
      <c r="A112" s="3" t="s">
        <v>96</v>
      </c>
      <c r="B112" s="3" t="s">
        <v>187</v>
      </c>
      <c r="C112" s="3">
        <v>89</v>
      </c>
      <c r="D112" s="3">
        <v>85</v>
      </c>
      <c r="E112" s="3">
        <f>53+21</f>
        <v>74</v>
      </c>
      <c r="F112" s="3">
        <f>33-29+7</f>
        <v>11</v>
      </c>
      <c r="G112" s="3">
        <v>1</v>
      </c>
    </row>
    <row r="113" spans="1:7" x14ac:dyDescent="0.25">
      <c r="A113" t="s">
        <v>96</v>
      </c>
      <c r="B113" t="s">
        <v>6</v>
      </c>
      <c r="C113">
        <v>41</v>
      </c>
      <c r="D113">
        <v>41</v>
      </c>
      <c r="E113">
        <v>40</v>
      </c>
      <c r="F113">
        <v>1</v>
      </c>
      <c r="G113">
        <v>0</v>
      </c>
    </row>
    <row r="114" spans="1:7" x14ac:dyDescent="0.25">
      <c r="A114" s="3" t="s">
        <v>96</v>
      </c>
      <c r="B114" s="3" t="s">
        <v>6</v>
      </c>
      <c r="C114" s="3">
        <v>2</v>
      </c>
      <c r="D114" s="3">
        <v>2</v>
      </c>
      <c r="E114" s="3">
        <v>2</v>
      </c>
      <c r="F114" s="3">
        <v>0</v>
      </c>
      <c r="G114" s="3">
        <v>0</v>
      </c>
    </row>
    <row r="115" spans="1:7" x14ac:dyDescent="0.25">
      <c r="A115" t="s">
        <v>96</v>
      </c>
      <c r="B115" t="s">
        <v>7</v>
      </c>
      <c r="C115">
        <v>3</v>
      </c>
      <c r="D115">
        <v>3</v>
      </c>
      <c r="E115">
        <v>3</v>
      </c>
      <c r="F115">
        <v>0</v>
      </c>
      <c r="G115">
        <v>0</v>
      </c>
    </row>
    <row r="116" spans="1:7" x14ac:dyDescent="0.25">
      <c r="A116" s="3" t="s">
        <v>96</v>
      </c>
      <c r="B116" s="3" t="s">
        <v>7</v>
      </c>
      <c r="C116" s="3">
        <v>7</v>
      </c>
      <c r="D116" s="3">
        <v>7</v>
      </c>
      <c r="E116" s="3">
        <v>5</v>
      </c>
      <c r="F116" s="3">
        <v>2</v>
      </c>
      <c r="G116" s="3">
        <v>0</v>
      </c>
    </row>
    <row r="117" spans="1:7" x14ac:dyDescent="0.25">
      <c r="A117" t="s">
        <v>96</v>
      </c>
      <c r="B117" t="s">
        <v>8</v>
      </c>
      <c r="C117">
        <v>16</v>
      </c>
      <c r="D117">
        <v>16</v>
      </c>
      <c r="E117">
        <v>9</v>
      </c>
      <c r="F117">
        <v>7</v>
      </c>
      <c r="G117">
        <v>0</v>
      </c>
    </row>
    <row r="118" spans="1:7" x14ac:dyDescent="0.25">
      <c r="A118" s="3" t="s">
        <v>96</v>
      </c>
      <c r="B118" s="3" t="s">
        <v>8</v>
      </c>
      <c r="C118" s="3">
        <v>8</v>
      </c>
      <c r="D118" s="3">
        <v>8</v>
      </c>
      <c r="E118" s="3">
        <v>3</v>
      </c>
      <c r="F118" s="3">
        <v>5</v>
      </c>
      <c r="G118" s="3">
        <v>0</v>
      </c>
    </row>
    <row r="119" spans="1:7" x14ac:dyDescent="0.25">
      <c r="A119" t="s">
        <v>96</v>
      </c>
      <c r="B119" t="s">
        <v>9</v>
      </c>
      <c r="C119">
        <v>2</v>
      </c>
      <c r="D119">
        <v>2</v>
      </c>
      <c r="E119">
        <v>1</v>
      </c>
      <c r="F119">
        <v>1</v>
      </c>
      <c r="G119">
        <v>0</v>
      </c>
    </row>
    <row r="120" spans="1:7" x14ac:dyDescent="0.25">
      <c r="A120" s="3" t="s">
        <v>96</v>
      </c>
      <c r="B120" s="3" t="s">
        <v>9</v>
      </c>
      <c r="C120" s="3">
        <v>2</v>
      </c>
      <c r="D120" s="3">
        <v>2</v>
      </c>
      <c r="E120" s="3">
        <v>1</v>
      </c>
      <c r="F120" s="3">
        <v>1</v>
      </c>
      <c r="G120" s="3">
        <v>0</v>
      </c>
    </row>
    <row r="121" spans="1:7" x14ac:dyDescent="0.25">
      <c r="A121" t="s">
        <v>96</v>
      </c>
      <c r="B121" t="s">
        <v>10</v>
      </c>
      <c r="C121">
        <v>56</v>
      </c>
      <c r="D121">
        <v>56</v>
      </c>
      <c r="E121">
        <v>49</v>
      </c>
      <c r="F121">
        <v>7</v>
      </c>
      <c r="G121">
        <v>0</v>
      </c>
    </row>
    <row r="122" spans="1:7" x14ac:dyDescent="0.25">
      <c r="A122" s="3" t="s">
        <v>96</v>
      </c>
      <c r="B122" s="3" t="s">
        <v>10</v>
      </c>
      <c r="C122" s="3">
        <v>34</v>
      </c>
      <c r="D122" s="3">
        <v>34</v>
      </c>
      <c r="E122" s="3">
        <v>25</v>
      </c>
      <c r="F122" s="3">
        <v>9</v>
      </c>
      <c r="G122" s="3">
        <v>0</v>
      </c>
    </row>
    <row r="123" spans="1:7" x14ac:dyDescent="0.25">
      <c r="A123" t="s">
        <v>96</v>
      </c>
      <c r="B123" t="s">
        <v>177</v>
      </c>
      <c r="C123">
        <v>29</v>
      </c>
      <c r="D123">
        <v>28</v>
      </c>
      <c r="E123">
        <v>28</v>
      </c>
      <c r="F123">
        <v>0</v>
      </c>
      <c r="G123">
        <v>0</v>
      </c>
    </row>
    <row r="124" spans="1:7" x14ac:dyDescent="0.25">
      <c r="A124" s="3" t="s">
        <v>96</v>
      </c>
      <c r="B124" s="3" t="s">
        <v>177</v>
      </c>
      <c r="C124" s="3">
        <v>4</v>
      </c>
      <c r="D124" s="3">
        <v>2</v>
      </c>
      <c r="E124" s="3">
        <v>2</v>
      </c>
      <c r="F124" s="3">
        <v>0</v>
      </c>
      <c r="G124" s="3">
        <v>1</v>
      </c>
    </row>
    <row r="125" spans="1:7" x14ac:dyDescent="0.25">
      <c r="A125" t="s">
        <v>94</v>
      </c>
      <c r="B125" t="s">
        <v>2</v>
      </c>
      <c r="C125">
        <v>17</v>
      </c>
      <c r="D125">
        <v>13</v>
      </c>
      <c r="E125">
        <v>13</v>
      </c>
      <c r="F125">
        <v>0</v>
      </c>
      <c r="G125">
        <v>0</v>
      </c>
    </row>
    <row r="126" spans="1:7" x14ac:dyDescent="0.25">
      <c r="A126" s="3" t="s">
        <v>94</v>
      </c>
      <c r="B126" s="3" t="s">
        <v>2</v>
      </c>
      <c r="C126" s="3">
        <v>20</v>
      </c>
      <c r="D126" s="3">
        <v>19</v>
      </c>
      <c r="E126" s="3">
        <v>17</v>
      </c>
      <c r="F126" s="3">
        <v>2</v>
      </c>
      <c r="G126" s="3">
        <v>0</v>
      </c>
    </row>
    <row r="127" spans="1:7" x14ac:dyDescent="0.25">
      <c r="A127" t="s">
        <v>94</v>
      </c>
      <c r="B127" t="s">
        <v>27</v>
      </c>
      <c r="C127">
        <v>2</v>
      </c>
      <c r="D127">
        <v>0</v>
      </c>
      <c r="E127">
        <v>0</v>
      </c>
      <c r="F127">
        <v>0</v>
      </c>
      <c r="G127">
        <v>0</v>
      </c>
    </row>
    <row r="128" spans="1:7" x14ac:dyDescent="0.25">
      <c r="A128" t="s">
        <v>94</v>
      </c>
      <c r="B128" t="s">
        <v>4</v>
      </c>
      <c r="C128">
        <v>11</v>
      </c>
      <c r="D128">
        <v>0</v>
      </c>
      <c r="E128">
        <v>0</v>
      </c>
      <c r="F128">
        <v>0</v>
      </c>
      <c r="G128">
        <v>0</v>
      </c>
    </row>
    <row r="129" spans="1:7" x14ac:dyDescent="0.25">
      <c r="A129" t="s">
        <v>94</v>
      </c>
      <c r="B129" t="s">
        <v>5</v>
      </c>
      <c r="C129">
        <v>98</v>
      </c>
      <c r="D129">
        <v>91</v>
      </c>
      <c r="E129">
        <f>81+7</f>
        <v>88</v>
      </c>
      <c r="F129">
        <f>10-7+0</f>
        <v>3</v>
      </c>
      <c r="G129">
        <v>0</v>
      </c>
    </row>
    <row r="130" spans="1:7" x14ac:dyDescent="0.25">
      <c r="A130" s="3" t="s">
        <v>94</v>
      </c>
      <c r="B130" s="3" t="s">
        <v>5</v>
      </c>
      <c r="C130" s="3">
        <v>89</v>
      </c>
      <c r="D130" s="3">
        <v>88</v>
      </c>
      <c r="E130" s="3">
        <v>82</v>
      </c>
      <c r="F130" s="3">
        <v>6</v>
      </c>
      <c r="G130" s="3">
        <v>1</v>
      </c>
    </row>
    <row r="131" spans="1:7" x14ac:dyDescent="0.25">
      <c r="A131" t="s">
        <v>94</v>
      </c>
      <c r="B131" t="s">
        <v>185</v>
      </c>
      <c r="C131">
        <f>120+22</f>
        <v>142</v>
      </c>
      <c r="D131">
        <v>137</v>
      </c>
      <c r="E131">
        <f>87+25</f>
        <v>112</v>
      </c>
      <c r="F131">
        <f>51-31+5</f>
        <v>25</v>
      </c>
      <c r="G131">
        <v>0</v>
      </c>
    </row>
    <row r="132" spans="1:7" x14ac:dyDescent="0.25">
      <c r="A132" s="3" t="s">
        <v>94</v>
      </c>
      <c r="B132" s="3" t="s">
        <v>185</v>
      </c>
      <c r="C132" s="3">
        <v>93</v>
      </c>
      <c r="D132" s="3">
        <v>92</v>
      </c>
      <c r="E132" s="3">
        <v>81</v>
      </c>
      <c r="F132" s="3">
        <v>11</v>
      </c>
      <c r="G132" s="3">
        <v>0</v>
      </c>
    </row>
    <row r="133" spans="1:7" x14ac:dyDescent="0.25">
      <c r="A133" t="s">
        <v>94</v>
      </c>
      <c r="B133" t="s">
        <v>186</v>
      </c>
      <c r="C133">
        <f>191+18</f>
        <v>209</v>
      </c>
      <c r="D133">
        <v>196</v>
      </c>
      <c r="E133">
        <f>143+35</f>
        <v>178</v>
      </c>
      <c r="F133">
        <f>55-47+10</f>
        <v>18</v>
      </c>
      <c r="G133">
        <v>1</v>
      </c>
    </row>
    <row r="134" spans="1:7" x14ac:dyDescent="0.25">
      <c r="A134" s="3" t="s">
        <v>94</v>
      </c>
      <c r="B134" s="3" t="s">
        <v>186</v>
      </c>
      <c r="C134" s="3">
        <v>128</v>
      </c>
      <c r="D134" s="3">
        <v>117</v>
      </c>
      <c r="E134" s="3">
        <v>107</v>
      </c>
      <c r="F134" s="3">
        <v>10</v>
      </c>
      <c r="G134" s="3">
        <v>1</v>
      </c>
    </row>
    <row r="135" spans="1:7" x14ac:dyDescent="0.25">
      <c r="A135" t="s">
        <v>94</v>
      </c>
      <c r="B135" t="s">
        <v>187</v>
      </c>
      <c r="C135">
        <v>148</v>
      </c>
      <c r="D135">
        <v>143</v>
      </c>
      <c r="E135">
        <v>85</v>
      </c>
      <c r="F135">
        <v>58</v>
      </c>
      <c r="G135">
        <v>0</v>
      </c>
    </row>
    <row r="136" spans="1:7" x14ac:dyDescent="0.25">
      <c r="A136" s="3" t="s">
        <v>94</v>
      </c>
      <c r="B136" s="3" t="s">
        <v>187</v>
      </c>
      <c r="C136" s="3">
        <v>99</v>
      </c>
      <c r="D136" s="3">
        <v>93</v>
      </c>
      <c r="E136" s="3">
        <f>65+17</f>
        <v>82</v>
      </c>
      <c r="F136" s="3">
        <f>30-25+6</f>
        <v>11</v>
      </c>
      <c r="G136" s="3">
        <v>3</v>
      </c>
    </row>
    <row r="137" spans="1:7" x14ac:dyDescent="0.25">
      <c r="A137" t="s">
        <v>94</v>
      </c>
      <c r="B137" t="s">
        <v>6</v>
      </c>
      <c r="C137">
        <v>49</v>
      </c>
      <c r="D137">
        <v>49</v>
      </c>
      <c r="E137">
        <v>47</v>
      </c>
      <c r="F137">
        <v>2</v>
      </c>
      <c r="G137">
        <v>0</v>
      </c>
    </row>
    <row r="138" spans="1:7" x14ac:dyDescent="0.25">
      <c r="A138" s="3" t="s">
        <v>94</v>
      </c>
      <c r="B138" s="3" t="s">
        <v>6</v>
      </c>
      <c r="C138" s="3">
        <v>35</v>
      </c>
      <c r="D138" s="3">
        <v>33</v>
      </c>
      <c r="E138" s="3">
        <v>33</v>
      </c>
      <c r="F138" s="3">
        <v>0</v>
      </c>
      <c r="G138" s="3">
        <v>0</v>
      </c>
    </row>
    <row r="139" spans="1:7" x14ac:dyDescent="0.25">
      <c r="A139" t="s">
        <v>94</v>
      </c>
      <c r="B139" t="s">
        <v>7</v>
      </c>
      <c r="C139">
        <v>30</v>
      </c>
      <c r="D139">
        <v>27</v>
      </c>
      <c r="E139">
        <v>25</v>
      </c>
      <c r="F139">
        <v>2</v>
      </c>
      <c r="G139">
        <v>0</v>
      </c>
    </row>
    <row r="140" spans="1:7" x14ac:dyDescent="0.25">
      <c r="A140" s="3" t="s">
        <v>94</v>
      </c>
      <c r="B140" s="3" t="s">
        <v>7</v>
      </c>
      <c r="C140" s="3">
        <v>14</v>
      </c>
      <c r="D140" s="3">
        <v>14</v>
      </c>
      <c r="E140" s="3">
        <v>14</v>
      </c>
      <c r="F140" s="3">
        <v>0</v>
      </c>
      <c r="G140" s="3">
        <v>0</v>
      </c>
    </row>
    <row r="141" spans="1:7" x14ac:dyDescent="0.25">
      <c r="A141" t="s">
        <v>94</v>
      </c>
      <c r="B141" t="s">
        <v>8</v>
      </c>
      <c r="C141">
        <v>89</v>
      </c>
      <c r="D141">
        <v>88</v>
      </c>
      <c r="E141">
        <v>71</v>
      </c>
      <c r="F141">
        <v>17</v>
      </c>
      <c r="G141">
        <v>0</v>
      </c>
    </row>
    <row r="142" spans="1:7" x14ac:dyDescent="0.25">
      <c r="A142" s="3" t="s">
        <v>94</v>
      </c>
      <c r="B142" s="3" t="s">
        <v>8</v>
      </c>
      <c r="C142" s="3">
        <v>41</v>
      </c>
      <c r="D142" s="3">
        <v>41</v>
      </c>
      <c r="E142" s="3">
        <v>31</v>
      </c>
      <c r="F142" s="3">
        <v>10</v>
      </c>
      <c r="G142" s="3">
        <v>0</v>
      </c>
    </row>
    <row r="143" spans="1:7" x14ac:dyDescent="0.25">
      <c r="A143" t="s">
        <v>94</v>
      </c>
      <c r="B143" t="s">
        <v>9</v>
      </c>
      <c r="C143">
        <v>56</v>
      </c>
      <c r="D143">
        <v>55</v>
      </c>
      <c r="E143">
        <v>52</v>
      </c>
      <c r="F143">
        <v>3</v>
      </c>
      <c r="G143">
        <v>0</v>
      </c>
    </row>
    <row r="144" spans="1:7" x14ac:dyDescent="0.25">
      <c r="A144" s="3" t="s">
        <v>94</v>
      </c>
      <c r="B144" s="3" t="s">
        <v>9</v>
      </c>
      <c r="C144" s="3">
        <v>24</v>
      </c>
      <c r="D144" s="3">
        <v>24</v>
      </c>
      <c r="E144" s="3">
        <v>23</v>
      </c>
      <c r="F144" s="3">
        <v>1</v>
      </c>
      <c r="G144" s="3">
        <v>0</v>
      </c>
    </row>
    <row r="145" spans="1:7" x14ac:dyDescent="0.25">
      <c r="A145" t="s">
        <v>94</v>
      </c>
      <c r="B145" t="s">
        <v>10</v>
      </c>
      <c r="C145">
        <v>138</v>
      </c>
      <c r="D145">
        <v>137</v>
      </c>
      <c r="E145">
        <v>123</v>
      </c>
      <c r="F145">
        <v>14</v>
      </c>
      <c r="G145">
        <v>0</v>
      </c>
    </row>
    <row r="146" spans="1:7" x14ac:dyDescent="0.25">
      <c r="A146" s="3" t="s">
        <v>94</v>
      </c>
      <c r="B146" s="3" t="s">
        <v>10</v>
      </c>
      <c r="C146" s="3">
        <v>148</v>
      </c>
      <c r="D146" s="3">
        <v>148</v>
      </c>
      <c r="E146" s="3">
        <v>123</v>
      </c>
      <c r="F146" s="3">
        <v>25</v>
      </c>
      <c r="G146" s="3">
        <v>0</v>
      </c>
    </row>
    <row r="147" spans="1:7" x14ac:dyDescent="0.25">
      <c r="A147" t="s">
        <v>94</v>
      </c>
      <c r="B147" t="s">
        <v>177</v>
      </c>
      <c r="C147">
        <v>93</v>
      </c>
      <c r="D147">
        <v>93</v>
      </c>
      <c r="E147">
        <v>88</v>
      </c>
      <c r="F147">
        <v>5</v>
      </c>
      <c r="G147">
        <v>0</v>
      </c>
    </row>
    <row r="148" spans="1:7" x14ac:dyDescent="0.25">
      <c r="A148" s="3" t="s">
        <v>94</v>
      </c>
      <c r="B148" s="3" t="s">
        <v>177</v>
      </c>
      <c r="C148" s="3">
        <v>74</v>
      </c>
      <c r="D148" s="3">
        <v>65</v>
      </c>
      <c r="E148" s="3">
        <v>60</v>
      </c>
      <c r="F148" s="3">
        <v>5</v>
      </c>
      <c r="G148" s="3">
        <v>0</v>
      </c>
    </row>
    <row r="149" spans="1:7" x14ac:dyDescent="0.25">
      <c r="A149" t="s">
        <v>29</v>
      </c>
      <c r="B149" t="s">
        <v>2</v>
      </c>
      <c r="C149">
        <v>12</v>
      </c>
      <c r="D149">
        <v>8</v>
      </c>
      <c r="E149">
        <v>7</v>
      </c>
      <c r="F149">
        <v>1</v>
      </c>
      <c r="G149">
        <v>1</v>
      </c>
    </row>
    <row r="150" spans="1:7" x14ac:dyDescent="0.25">
      <c r="A150" s="3" t="s">
        <v>29</v>
      </c>
      <c r="B150" s="3" t="s">
        <v>2</v>
      </c>
      <c r="C150" s="3">
        <v>13</v>
      </c>
      <c r="D150" s="3">
        <v>11</v>
      </c>
      <c r="E150" s="3">
        <v>8</v>
      </c>
      <c r="F150" s="3">
        <v>3</v>
      </c>
      <c r="G150" s="3">
        <v>0</v>
      </c>
    </row>
    <row r="151" spans="1:7" x14ac:dyDescent="0.25">
      <c r="A151" t="s">
        <v>29</v>
      </c>
      <c r="B151" t="s">
        <v>4</v>
      </c>
      <c r="C151">
        <v>9</v>
      </c>
      <c r="D151">
        <v>0</v>
      </c>
      <c r="E151">
        <v>0</v>
      </c>
      <c r="F151">
        <v>0</v>
      </c>
      <c r="G151">
        <v>0</v>
      </c>
    </row>
    <row r="152" spans="1:7" x14ac:dyDescent="0.25">
      <c r="A152" t="s">
        <v>29</v>
      </c>
      <c r="B152" t="s">
        <v>5</v>
      </c>
      <c r="C152">
        <v>21</v>
      </c>
      <c r="D152">
        <v>20</v>
      </c>
      <c r="E152">
        <f>12+7</f>
        <v>19</v>
      </c>
      <c r="F152">
        <f>8-7</f>
        <v>1</v>
      </c>
      <c r="G152">
        <v>1</v>
      </c>
    </row>
    <row r="153" spans="1:7" x14ac:dyDescent="0.25">
      <c r="A153" s="3" t="s">
        <v>29</v>
      </c>
      <c r="B153" s="3" t="s">
        <v>5</v>
      </c>
      <c r="C153" s="3">
        <v>19</v>
      </c>
      <c r="D153" s="3">
        <v>18</v>
      </c>
      <c r="E153" s="3">
        <v>14</v>
      </c>
      <c r="F153" s="3">
        <v>4</v>
      </c>
      <c r="G153" s="3">
        <v>1</v>
      </c>
    </row>
    <row r="154" spans="1:7" x14ac:dyDescent="0.25">
      <c r="A154" t="s">
        <v>29</v>
      </c>
      <c r="B154" t="s">
        <v>185</v>
      </c>
      <c r="C154">
        <f>53+16</f>
        <v>69</v>
      </c>
      <c r="D154">
        <f>52+16</f>
        <v>68</v>
      </c>
      <c r="E154">
        <f>49+9</f>
        <v>58</v>
      </c>
      <c r="F154">
        <f>19-14+5</f>
        <v>10</v>
      </c>
      <c r="G154">
        <v>0</v>
      </c>
    </row>
    <row r="155" spans="1:7" x14ac:dyDescent="0.25">
      <c r="A155" s="3" t="s">
        <v>29</v>
      </c>
      <c r="B155" s="3" t="s">
        <v>185</v>
      </c>
      <c r="C155" s="3">
        <v>46</v>
      </c>
      <c r="D155" s="3">
        <v>43</v>
      </c>
      <c r="E155" s="3">
        <v>35</v>
      </c>
      <c r="F155" s="3">
        <v>8</v>
      </c>
      <c r="G155" s="3">
        <v>1</v>
      </c>
    </row>
    <row r="156" spans="1:7" x14ac:dyDescent="0.25">
      <c r="A156" t="s">
        <v>29</v>
      </c>
      <c r="B156" t="s">
        <v>186</v>
      </c>
      <c r="C156">
        <f>137+6</f>
        <v>143</v>
      </c>
      <c r="D156">
        <v>120</v>
      </c>
      <c r="E156">
        <v>110</v>
      </c>
      <c r="F156">
        <f>29-21+2</f>
        <v>10</v>
      </c>
      <c r="G156">
        <v>3</v>
      </c>
    </row>
    <row r="157" spans="1:7" x14ac:dyDescent="0.25">
      <c r="A157" s="3" t="s">
        <v>29</v>
      </c>
      <c r="B157" s="3" t="s">
        <v>186</v>
      </c>
      <c r="C157" s="3">
        <v>113</v>
      </c>
      <c r="D157" s="3">
        <v>105</v>
      </c>
      <c r="E157" s="3">
        <v>87</v>
      </c>
      <c r="F157" s="3">
        <v>18</v>
      </c>
      <c r="G157" s="3">
        <v>2</v>
      </c>
    </row>
    <row r="158" spans="1:7" x14ac:dyDescent="0.25">
      <c r="A158" t="s">
        <v>29</v>
      </c>
      <c r="B158" t="s">
        <v>189</v>
      </c>
      <c r="C158">
        <v>2</v>
      </c>
      <c r="D158">
        <v>2</v>
      </c>
      <c r="E158">
        <v>2</v>
      </c>
      <c r="F158">
        <v>0</v>
      </c>
      <c r="G158">
        <v>0</v>
      </c>
    </row>
    <row r="159" spans="1:7" x14ac:dyDescent="0.25">
      <c r="A159" t="s">
        <v>29</v>
      </c>
      <c r="B159" t="s">
        <v>187</v>
      </c>
      <c r="C159">
        <f>137+1</f>
        <v>138</v>
      </c>
      <c r="D159">
        <f>134+1</f>
        <v>135</v>
      </c>
      <c r="E159">
        <f>106+1</f>
        <v>107</v>
      </c>
      <c r="F159">
        <v>28</v>
      </c>
      <c r="G159">
        <v>0</v>
      </c>
    </row>
    <row r="160" spans="1:7" x14ac:dyDescent="0.25">
      <c r="A160" s="3" t="s">
        <v>29</v>
      </c>
      <c r="B160" s="3" t="s">
        <v>187</v>
      </c>
      <c r="C160" s="3">
        <v>87</v>
      </c>
      <c r="D160" s="3">
        <v>85</v>
      </c>
      <c r="E160" s="3">
        <f>66+15</f>
        <v>81</v>
      </c>
      <c r="F160" s="3">
        <f>19-16+1</f>
        <v>4</v>
      </c>
      <c r="G160" s="3">
        <v>1</v>
      </c>
    </row>
    <row r="161" spans="1:7" x14ac:dyDescent="0.25">
      <c r="A161" t="s">
        <v>29</v>
      </c>
      <c r="B161" t="s">
        <v>6</v>
      </c>
      <c r="C161">
        <v>35</v>
      </c>
      <c r="D161">
        <v>35</v>
      </c>
      <c r="E161">
        <v>33</v>
      </c>
      <c r="F161">
        <v>2</v>
      </c>
      <c r="G161">
        <v>0</v>
      </c>
    </row>
    <row r="162" spans="1:7" x14ac:dyDescent="0.25">
      <c r="A162" s="3" t="s">
        <v>29</v>
      </c>
      <c r="B162" s="3" t="s">
        <v>6</v>
      </c>
      <c r="C162" s="3">
        <v>26</v>
      </c>
      <c r="D162" s="3">
        <v>26</v>
      </c>
      <c r="E162" s="3">
        <v>25</v>
      </c>
      <c r="F162" s="3">
        <v>1</v>
      </c>
      <c r="G162" s="3">
        <v>0</v>
      </c>
    </row>
    <row r="163" spans="1:7" x14ac:dyDescent="0.25">
      <c r="A163" t="s">
        <v>29</v>
      </c>
      <c r="B163" t="s">
        <v>7</v>
      </c>
      <c r="C163">
        <v>4</v>
      </c>
      <c r="D163">
        <v>4</v>
      </c>
      <c r="E163">
        <v>4</v>
      </c>
      <c r="F163">
        <v>0</v>
      </c>
      <c r="G163">
        <v>0</v>
      </c>
    </row>
    <row r="164" spans="1:7" x14ac:dyDescent="0.25">
      <c r="A164" s="3" t="s">
        <v>29</v>
      </c>
      <c r="B164" s="3" t="s">
        <v>7</v>
      </c>
      <c r="C164" s="3">
        <v>1</v>
      </c>
      <c r="D164" s="3">
        <v>1</v>
      </c>
      <c r="E164" s="3">
        <v>0</v>
      </c>
      <c r="F164" s="3">
        <v>1</v>
      </c>
      <c r="G164" s="3">
        <v>0</v>
      </c>
    </row>
    <row r="165" spans="1:7" x14ac:dyDescent="0.25">
      <c r="A165" t="s">
        <v>29</v>
      </c>
      <c r="B165" t="s">
        <v>8</v>
      </c>
      <c r="C165">
        <v>33</v>
      </c>
      <c r="D165">
        <v>30</v>
      </c>
      <c r="E165">
        <v>24</v>
      </c>
      <c r="F165">
        <v>6</v>
      </c>
      <c r="G165">
        <v>1</v>
      </c>
    </row>
    <row r="166" spans="1:7" x14ac:dyDescent="0.25">
      <c r="A166" s="3" t="s">
        <v>29</v>
      </c>
      <c r="B166" s="3" t="s">
        <v>8</v>
      </c>
      <c r="C166" s="3">
        <v>16</v>
      </c>
      <c r="D166" s="3">
        <v>15</v>
      </c>
      <c r="E166" s="3">
        <v>9</v>
      </c>
      <c r="F166" s="3">
        <v>6</v>
      </c>
      <c r="G166" s="3">
        <v>1</v>
      </c>
    </row>
    <row r="167" spans="1:7" x14ac:dyDescent="0.25">
      <c r="A167" t="s">
        <v>29</v>
      </c>
      <c r="B167" t="s">
        <v>9</v>
      </c>
      <c r="C167">
        <v>22</v>
      </c>
      <c r="D167">
        <v>21</v>
      </c>
      <c r="E167">
        <v>21</v>
      </c>
      <c r="F167">
        <v>0</v>
      </c>
      <c r="G167">
        <v>0</v>
      </c>
    </row>
    <row r="168" spans="1:7" x14ac:dyDescent="0.25">
      <c r="A168" s="3" t="s">
        <v>29</v>
      </c>
      <c r="B168" s="3" t="s">
        <v>9</v>
      </c>
      <c r="C168" s="3">
        <v>11</v>
      </c>
      <c r="D168" s="3">
        <v>11</v>
      </c>
      <c r="E168" s="3">
        <v>11</v>
      </c>
      <c r="F168" s="3">
        <v>0</v>
      </c>
      <c r="G168" s="3">
        <v>0</v>
      </c>
    </row>
    <row r="169" spans="1:7" x14ac:dyDescent="0.25">
      <c r="A169" t="s">
        <v>29</v>
      </c>
      <c r="B169" t="s">
        <v>10</v>
      </c>
      <c r="C169">
        <v>91</v>
      </c>
      <c r="D169">
        <v>91</v>
      </c>
      <c r="E169">
        <v>84</v>
      </c>
      <c r="F169">
        <v>7</v>
      </c>
      <c r="G169">
        <v>0</v>
      </c>
    </row>
    <row r="170" spans="1:7" x14ac:dyDescent="0.25">
      <c r="A170" s="3" t="s">
        <v>29</v>
      </c>
      <c r="B170" s="3" t="s">
        <v>10</v>
      </c>
      <c r="C170" s="3">
        <v>78</v>
      </c>
      <c r="D170" s="3">
        <v>77</v>
      </c>
      <c r="E170" s="3">
        <v>49</v>
      </c>
      <c r="F170" s="3">
        <v>28</v>
      </c>
      <c r="G170" s="3">
        <v>0</v>
      </c>
    </row>
    <row r="171" spans="1:7" x14ac:dyDescent="0.25">
      <c r="A171" t="s">
        <v>29</v>
      </c>
      <c r="B171" t="s">
        <v>177</v>
      </c>
      <c r="C171">
        <v>25</v>
      </c>
      <c r="D171">
        <v>24</v>
      </c>
      <c r="E171">
        <v>18</v>
      </c>
      <c r="F171">
        <v>6</v>
      </c>
      <c r="G171">
        <v>0</v>
      </c>
    </row>
    <row r="172" spans="1:7" x14ac:dyDescent="0.25">
      <c r="A172" s="3" t="s">
        <v>29</v>
      </c>
      <c r="B172" s="3" t="s">
        <v>177</v>
      </c>
      <c r="C172" s="3">
        <v>19</v>
      </c>
      <c r="D172" s="3">
        <v>17</v>
      </c>
      <c r="E172" s="3">
        <v>11</v>
      </c>
      <c r="F172" s="3">
        <v>6</v>
      </c>
      <c r="G172" s="3">
        <v>0</v>
      </c>
    </row>
    <row r="173" spans="1:7" x14ac:dyDescent="0.25">
      <c r="A173" t="s">
        <v>95</v>
      </c>
      <c r="B173" t="s">
        <v>2</v>
      </c>
      <c r="C173">
        <v>7</v>
      </c>
      <c r="D173">
        <v>6</v>
      </c>
      <c r="E173">
        <v>6</v>
      </c>
      <c r="F173">
        <v>0</v>
      </c>
      <c r="G173">
        <v>0</v>
      </c>
    </row>
    <row r="174" spans="1:7" x14ac:dyDescent="0.25">
      <c r="A174" s="3" t="s">
        <v>95</v>
      </c>
      <c r="B174" s="3" t="s">
        <v>2</v>
      </c>
      <c r="C174" s="3">
        <v>5</v>
      </c>
      <c r="D174" s="3">
        <v>5</v>
      </c>
      <c r="E174" s="3">
        <v>4</v>
      </c>
      <c r="F174" s="3">
        <v>1</v>
      </c>
      <c r="G174" s="3">
        <v>0</v>
      </c>
    </row>
    <row r="175" spans="1:7" x14ac:dyDescent="0.25">
      <c r="A175" t="s">
        <v>95</v>
      </c>
      <c r="B175" t="s">
        <v>97</v>
      </c>
      <c r="C175">
        <v>1</v>
      </c>
      <c r="D175">
        <v>0</v>
      </c>
      <c r="E175">
        <v>0</v>
      </c>
      <c r="F175">
        <v>0</v>
      </c>
      <c r="G175">
        <v>0</v>
      </c>
    </row>
    <row r="176" spans="1:7" x14ac:dyDescent="0.25">
      <c r="A176" t="s">
        <v>95</v>
      </c>
      <c r="B176" t="s">
        <v>4</v>
      </c>
      <c r="C176">
        <v>3</v>
      </c>
      <c r="D176">
        <v>0</v>
      </c>
      <c r="E176">
        <v>0</v>
      </c>
      <c r="F176">
        <v>0</v>
      </c>
      <c r="G176">
        <v>0</v>
      </c>
    </row>
    <row r="177" spans="1:7" x14ac:dyDescent="0.25">
      <c r="A177" t="s">
        <v>95</v>
      </c>
      <c r="B177" t="s">
        <v>5</v>
      </c>
      <c r="C177">
        <v>25</v>
      </c>
      <c r="D177">
        <v>25</v>
      </c>
      <c r="E177">
        <v>17</v>
      </c>
      <c r="F177">
        <v>8</v>
      </c>
      <c r="G177">
        <v>0</v>
      </c>
    </row>
    <row r="178" spans="1:7" x14ac:dyDescent="0.25">
      <c r="A178" s="3" t="s">
        <v>95</v>
      </c>
      <c r="B178" s="3" t="s">
        <v>5</v>
      </c>
      <c r="C178" s="3">
        <v>14</v>
      </c>
      <c r="D178" s="3">
        <v>14</v>
      </c>
      <c r="E178" s="3">
        <f>9+3</f>
        <v>12</v>
      </c>
      <c r="F178" s="3">
        <f>5-3+0</f>
        <v>2</v>
      </c>
      <c r="G178" s="3">
        <v>0</v>
      </c>
    </row>
    <row r="179" spans="1:7" x14ac:dyDescent="0.25">
      <c r="A179" t="s">
        <v>95</v>
      </c>
      <c r="B179" t="s">
        <v>185</v>
      </c>
      <c r="C179">
        <f>32+5</f>
        <v>37</v>
      </c>
      <c r="D179">
        <f>32+5</f>
        <v>37</v>
      </c>
      <c r="E179">
        <f>21+10</f>
        <v>31</v>
      </c>
      <c r="F179">
        <f>16-12+2</f>
        <v>6</v>
      </c>
      <c r="G179">
        <v>0</v>
      </c>
    </row>
    <row r="180" spans="1:7" x14ac:dyDescent="0.25">
      <c r="A180" s="3" t="s">
        <v>95</v>
      </c>
      <c r="B180" s="3" t="s">
        <v>185</v>
      </c>
      <c r="C180" s="3">
        <v>24</v>
      </c>
      <c r="D180" s="3">
        <v>24</v>
      </c>
      <c r="E180" s="3">
        <v>17</v>
      </c>
      <c r="F180" s="3">
        <v>7</v>
      </c>
      <c r="G180" s="3">
        <v>0</v>
      </c>
    </row>
    <row r="181" spans="1:7" x14ac:dyDescent="0.25">
      <c r="A181" t="s">
        <v>95</v>
      </c>
      <c r="B181" t="s">
        <v>186</v>
      </c>
      <c r="C181">
        <f>71+8</f>
        <v>79</v>
      </c>
      <c r="D181">
        <v>77</v>
      </c>
      <c r="E181">
        <f>55+18</f>
        <v>73</v>
      </c>
      <c r="F181">
        <f>23-20+1</f>
        <v>4</v>
      </c>
      <c r="G181">
        <v>0</v>
      </c>
    </row>
    <row r="182" spans="1:7" x14ac:dyDescent="0.25">
      <c r="A182" s="3" t="s">
        <v>95</v>
      </c>
      <c r="B182" s="3" t="s">
        <v>186</v>
      </c>
      <c r="C182" s="3">
        <v>72</v>
      </c>
      <c r="D182" s="3">
        <v>69</v>
      </c>
      <c r="E182" s="3">
        <v>54</v>
      </c>
      <c r="F182" s="3">
        <v>15</v>
      </c>
      <c r="G182" s="3">
        <v>0</v>
      </c>
    </row>
    <row r="183" spans="1:7" x14ac:dyDescent="0.25">
      <c r="A183" t="s">
        <v>95</v>
      </c>
      <c r="B183" t="s">
        <v>187</v>
      </c>
      <c r="C183">
        <f>94+2</f>
        <v>96</v>
      </c>
      <c r="D183">
        <f>93+2</f>
        <v>95</v>
      </c>
      <c r="E183">
        <f>64+17</f>
        <v>81</v>
      </c>
      <c r="F183">
        <f>31-19+2</f>
        <v>14</v>
      </c>
      <c r="G183">
        <v>0</v>
      </c>
    </row>
    <row r="184" spans="1:7" x14ac:dyDescent="0.25">
      <c r="A184" s="3" t="s">
        <v>95</v>
      </c>
      <c r="B184" s="3" t="s">
        <v>187</v>
      </c>
      <c r="C184" s="3">
        <v>67</v>
      </c>
      <c r="D184" s="3">
        <v>66</v>
      </c>
      <c r="E184" s="3">
        <v>52</v>
      </c>
      <c r="F184" s="3">
        <v>14</v>
      </c>
      <c r="G184" s="3">
        <v>0</v>
      </c>
    </row>
    <row r="185" spans="1:7" x14ac:dyDescent="0.25">
      <c r="A185" t="s">
        <v>95</v>
      </c>
      <c r="B185" t="s">
        <v>6</v>
      </c>
      <c r="C185">
        <v>37</v>
      </c>
      <c r="D185">
        <v>37</v>
      </c>
      <c r="E185">
        <v>37</v>
      </c>
      <c r="F185">
        <v>0</v>
      </c>
      <c r="G185">
        <v>0</v>
      </c>
    </row>
    <row r="186" spans="1:7" x14ac:dyDescent="0.25">
      <c r="A186" s="3" t="s">
        <v>95</v>
      </c>
      <c r="B186" s="3" t="s">
        <v>6</v>
      </c>
      <c r="C186" s="3">
        <v>25</v>
      </c>
      <c r="D186" s="3">
        <v>24</v>
      </c>
      <c r="E186" s="3">
        <v>24</v>
      </c>
      <c r="F186" s="3">
        <v>0</v>
      </c>
      <c r="G186" s="3">
        <v>0</v>
      </c>
    </row>
    <row r="187" spans="1:7" x14ac:dyDescent="0.25">
      <c r="A187" t="s">
        <v>95</v>
      </c>
      <c r="B187" t="s">
        <v>7</v>
      </c>
      <c r="C187">
        <v>8</v>
      </c>
      <c r="D187">
        <v>8</v>
      </c>
      <c r="E187">
        <v>6</v>
      </c>
      <c r="F187">
        <v>2</v>
      </c>
      <c r="G187">
        <v>0</v>
      </c>
    </row>
    <row r="188" spans="1:7" x14ac:dyDescent="0.25">
      <c r="A188" s="3" t="s">
        <v>95</v>
      </c>
      <c r="B188" s="3" t="s">
        <v>7</v>
      </c>
      <c r="C188" s="3">
        <v>1</v>
      </c>
      <c r="D188" s="3">
        <v>1</v>
      </c>
      <c r="E188" s="3">
        <v>1</v>
      </c>
      <c r="F188" s="3">
        <v>0</v>
      </c>
      <c r="G188" s="3">
        <v>0</v>
      </c>
    </row>
    <row r="189" spans="1:7" x14ac:dyDescent="0.25">
      <c r="A189" t="s">
        <v>95</v>
      </c>
      <c r="B189" t="s">
        <v>8</v>
      </c>
      <c r="C189">
        <v>39</v>
      </c>
      <c r="D189">
        <v>38</v>
      </c>
      <c r="E189">
        <v>27</v>
      </c>
      <c r="F189">
        <v>11</v>
      </c>
      <c r="G189">
        <v>0</v>
      </c>
    </row>
    <row r="190" spans="1:7" x14ac:dyDescent="0.25">
      <c r="A190" s="3" t="s">
        <v>95</v>
      </c>
      <c r="B190" s="3" t="s">
        <v>8</v>
      </c>
      <c r="C190" s="3">
        <v>18</v>
      </c>
      <c r="D190" s="3">
        <v>15</v>
      </c>
      <c r="E190" s="3">
        <v>9</v>
      </c>
      <c r="F190" s="3">
        <v>6</v>
      </c>
      <c r="G190" s="3">
        <v>0</v>
      </c>
    </row>
    <row r="191" spans="1:7" x14ac:dyDescent="0.25">
      <c r="A191" t="s">
        <v>95</v>
      </c>
      <c r="B191" t="s">
        <v>9</v>
      </c>
      <c r="C191">
        <v>29</v>
      </c>
      <c r="D191">
        <v>29</v>
      </c>
      <c r="E191">
        <v>23</v>
      </c>
      <c r="F191">
        <v>6</v>
      </c>
      <c r="G191">
        <v>0</v>
      </c>
    </row>
    <row r="192" spans="1:7" x14ac:dyDescent="0.25">
      <c r="A192" s="3" t="s">
        <v>95</v>
      </c>
      <c r="B192" s="3" t="s">
        <v>9</v>
      </c>
      <c r="C192" s="3">
        <v>13</v>
      </c>
      <c r="D192" s="3">
        <v>11</v>
      </c>
      <c r="E192" s="3">
        <v>9</v>
      </c>
      <c r="F192" s="3">
        <v>2</v>
      </c>
      <c r="G192" s="3">
        <v>0</v>
      </c>
    </row>
    <row r="193" spans="1:7" x14ac:dyDescent="0.25">
      <c r="A193" t="s">
        <v>95</v>
      </c>
      <c r="B193" t="s">
        <v>10</v>
      </c>
      <c r="C193">
        <v>87</v>
      </c>
      <c r="D193">
        <v>87</v>
      </c>
      <c r="E193">
        <v>80</v>
      </c>
      <c r="F193">
        <v>7</v>
      </c>
      <c r="G193">
        <v>0</v>
      </c>
    </row>
    <row r="194" spans="1:7" x14ac:dyDescent="0.25">
      <c r="A194" s="3" t="s">
        <v>95</v>
      </c>
      <c r="B194" s="3" t="s">
        <v>10</v>
      </c>
      <c r="C194" s="3">
        <v>56</v>
      </c>
      <c r="D194" s="3">
        <v>56</v>
      </c>
      <c r="E194" s="3">
        <v>50</v>
      </c>
      <c r="F194" s="3">
        <v>6</v>
      </c>
      <c r="G194" s="3">
        <v>0</v>
      </c>
    </row>
    <row r="195" spans="1:7" x14ac:dyDescent="0.25">
      <c r="A195" t="s">
        <v>95</v>
      </c>
      <c r="B195" t="s">
        <v>177</v>
      </c>
      <c r="C195">
        <v>23</v>
      </c>
      <c r="D195">
        <v>23</v>
      </c>
      <c r="E195">
        <v>23</v>
      </c>
      <c r="F195">
        <v>0</v>
      </c>
      <c r="G195">
        <v>0</v>
      </c>
    </row>
    <row r="196" spans="1:7" x14ac:dyDescent="0.25">
      <c r="A196" s="3" t="s">
        <v>95</v>
      </c>
      <c r="B196" s="3" t="s">
        <v>177</v>
      </c>
      <c r="C196" s="3">
        <v>6</v>
      </c>
      <c r="D196" s="3">
        <v>6</v>
      </c>
      <c r="E196" s="3">
        <v>5</v>
      </c>
      <c r="F196" s="3">
        <v>1</v>
      </c>
      <c r="G196" s="3">
        <v>0</v>
      </c>
    </row>
    <row r="197" spans="1:7" x14ac:dyDescent="0.25">
      <c r="A197" t="s">
        <v>71</v>
      </c>
      <c r="B197" t="s">
        <v>2</v>
      </c>
      <c r="C197">
        <v>89</v>
      </c>
      <c r="D197">
        <v>57</v>
      </c>
      <c r="E197">
        <f>30+5</f>
        <v>35</v>
      </c>
      <c r="F197">
        <f>38-19+3</f>
        <v>22</v>
      </c>
      <c r="G197">
        <v>0</v>
      </c>
    </row>
    <row r="198" spans="1:7" x14ac:dyDescent="0.25">
      <c r="A198" s="3" t="s">
        <v>71</v>
      </c>
      <c r="B198" s="3" t="s">
        <v>2</v>
      </c>
      <c r="C198" s="3">
        <v>34</v>
      </c>
      <c r="D198" s="3">
        <v>23</v>
      </c>
      <c r="E198" s="3">
        <v>20</v>
      </c>
      <c r="F198" s="3">
        <v>3</v>
      </c>
      <c r="G198" s="3">
        <v>0</v>
      </c>
    </row>
    <row r="199" spans="1:7" x14ac:dyDescent="0.25">
      <c r="A199" t="s">
        <v>71</v>
      </c>
      <c r="B199" t="s">
        <v>4</v>
      </c>
      <c r="C199">
        <v>13</v>
      </c>
      <c r="D199">
        <v>0</v>
      </c>
      <c r="E199">
        <v>0</v>
      </c>
      <c r="F199">
        <v>0</v>
      </c>
      <c r="G199">
        <v>0</v>
      </c>
    </row>
    <row r="200" spans="1:7" x14ac:dyDescent="0.25">
      <c r="A200" s="3" t="s">
        <v>71</v>
      </c>
      <c r="B200" s="3" t="s">
        <v>4</v>
      </c>
      <c r="C200" s="3">
        <v>2</v>
      </c>
      <c r="D200" s="3">
        <v>0</v>
      </c>
      <c r="E200" s="3">
        <v>0</v>
      </c>
      <c r="F200" s="3">
        <v>0</v>
      </c>
      <c r="G200" s="3">
        <v>0</v>
      </c>
    </row>
    <row r="201" spans="1:7" x14ac:dyDescent="0.25">
      <c r="A201" t="s">
        <v>71</v>
      </c>
      <c r="B201" t="s">
        <v>5</v>
      </c>
      <c r="C201">
        <v>106</v>
      </c>
      <c r="D201">
        <v>104</v>
      </c>
      <c r="E201">
        <v>88</v>
      </c>
      <c r="F201">
        <v>16</v>
      </c>
      <c r="G201">
        <v>0</v>
      </c>
    </row>
    <row r="202" spans="1:7" x14ac:dyDescent="0.25">
      <c r="A202" s="3" t="s">
        <v>71</v>
      </c>
      <c r="B202" s="3" t="s">
        <v>5</v>
      </c>
      <c r="C202" s="3">
        <v>87</v>
      </c>
      <c r="D202" s="3">
        <v>72</v>
      </c>
      <c r="E202" s="3">
        <f>62+5</f>
        <v>67</v>
      </c>
      <c r="F202" s="3">
        <f>10-6+1</f>
        <v>5</v>
      </c>
      <c r="G202" s="3">
        <v>0</v>
      </c>
    </row>
    <row r="203" spans="1:7" x14ac:dyDescent="0.25">
      <c r="A203" t="s">
        <v>71</v>
      </c>
      <c r="B203" t="s">
        <v>185</v>
      </c>
      <c r="C203">
        <f>172+26</f>
        <v>198</v>
      </c>
      <c r="D203">
        <f>160+25</f>
        <v>185</v>
      </c>
      <c r="E203">
        <f>125+23</f>
        <v>148</v>
      </c>
      <c r="F203">
        <f>35+2</f>
        <v>37</v>
      </c>
      <c r="G203">
        <v>2</v>
      </c>
    </row>
    <row r="204" spans="1:7" x14ac:dyDescent="0.25">
      <c r="A204" s="3" t="s">
        <v>71</v>
      </c>
      <c r="B204" s="3" t="s">
        <v>185</v>
      </c>
      <c r="C204" s="3">
        <v>154</v>
      </c>
      <c r="D204" s="3">
        <v>145</v>
      </c>
      <c r="E204" s="3">
        <f>120+14</f>
        <v>134</v>
      </c>
      <c r="F204" s="3">
        <f>25-20+6</f>
        <v>11</v>
      </c>
      <c r="G204" s="3">
        <v>0</v>
      </c>
    </row>
    <row r="205" spans="1:7" x14ac:dyDescent="0.25">
      <c r="A205" t="s">
        <v>71</v>
      </c>
      <c r="B205" t="s">
        <v>186</v>
      </c>
      <c r="C205">
        <f>289+26</f>
        <v>315</v>
      </c>
      <c r="D205">
        <v>285</v>
      </c>
      <c r="E205">
        <f>221+28</f>
        <v>249</v>
      </c>
      <c r="F205">
        <f>65-37+8</f>
        <v>36</v>
      </c>
      <c r="G205">
        <v>1</v>
      </c>
    </row>
    <row r="206" spans="1:7" x14ac:dyDescent="0.25">
      <c r="A206" s="3" t="s">
        <v>71</v>
      </c>
      <c r="B206" s="3" t="s">
        <v>186</v>
      </c>
      <c r="C206" s="3">
        <v>179</v>
      </c>
      <c r="D206" s="3">
        <v>169</v>
      </c>
      <c r="E206" s="3">
        <v>135</v>
      </c>
      <c r="F206" s="3">
        <v>34</v>
      </c>
      <c r="G206" s="3">
        <v>0</v>
      </c>
    </row>
    <row r="207" spans="1:7" x14ac:dyDescent="0.25">
      <c r="A207" t="s">
        <v>71</v>
      </c>
      <c r="B207" t="s">
        <v>189</v>
      </c>
      <c r="C207">
        <v>4</v>
      </c>
      <c r="D207">
        <v>4</v>
      </c>
      <c r="E207">
        <v>4</v>
      </c>
      <c r="F207">
        <v>0</v>
      </c>
      <c r="G207">
        <v>0</v>
      </c>
    </row>
    <row r="208" spans="1:7" x14ac:dyDescent="0.25">
      <c r="A208" s="3" t="s">
        <v>71</v>
      </c>
      <c r="B208" s="3" t="s">
        <v>189</v>
      </c>
      <c r="C208" s="3">
        <v>4</v>
      </c>
      <c r="D208" s="3">
        <v>4</v>
      </c>
      <c r="E208" s="3">
        <v>4</v>
      </c>
      <c r="F208" s="3">
        <v>0</v>
      </c>
      <c r="G208" s="3">
        <v>0</v>
      </c>
    </row>
    <row r="209" spans="1:7" x14ac:dyDescent="0.25">
      <c r="A209" t="s">
        <v>71</v>
      </c>
      <c r="B209" t="s">
        <v>187</v>
      </c>
      <c r="C209">
        <f>352+1</f>
        <v>353</v>
      </c>
      <c r="D209">
        <f>346+1</f>
        <v>347</v>
      </c>
      <c r="E209">
        <f>299+1</f>
        <v>300</v>
      </c>
      <c r="F209">
        <v>47</v>
      </c>
      <c r="G209">
        <v>0</v>
      </c>
    </row>
    <row r="210" spans="1:7" x14ac:dyDescent="0.25">
      <c r="A210" s="3" t="s">
        <v>71</v>
      </c>
      <c r="B210" s="3" t="s">
        <v>187</v>
      </c>
      <c r="C210" s="3">
        <v>312</v>
      </c>
      <c r="D210" s="3">
        <v>294</v>
      </c>
      <c r="E210" s="3">
        <f>230+14</f>
        <v>244</v>
      </c>
      <c r="F210" s="3">
        <f>65-18+3</f>
        <v>50</v>
      </c>
      <c r="G210" s="3">
        <v>0</v>
      </c>
    </row>
    <row r="211" spans="1:7" x14ac:dyDescent="0.25">
      <c r="A211" t="s">
        <v>71</v>
      </c>
      <c r="B211" t="s">
        <v>6</v>
      </c>
      <c r="C211">
        <v>350</v>
      </c>
      <c r="D211">
        <v>350</v>
      </c>
      <c r="E211">
        <v>345</v>
      </c>
      <c r="F211">
        <v>5</v>
      </c>
      <c r="G211">
        <v>0</v>
      </c>
    </row>
    <row r="212" spans="1:7" x14ac:dyDescent="0.25">
      <c r="A212" s="3" t="s">
        <v>71</v>
      </c>
      <c r="B212" s="3" t="s">
        <v>6</v>
      </c>
      <c r="C212" s="3">
        <v>183</v>
      </c>
      <c r="D212" s="3">
        <v>176</v>
      </c>
      <c r="E212" s="3">
        <v>175</v>
      </c>
      <c r="F212" s="3">
        <v>1</v>
      </c>
      <c r="G212" s="3">
        <v>0</v>
      </c>
    </row>
    <row r="213" spans="1:7" x14ac:dyDescent="0.25">
      <c r="A213" t="s">
        <v>71</v>
      </c>
      <c r="B213" t="s">
        <v>7</v>
      </c>
      <c r="C213">
        <v>40</v>
      </c>
      <c r="D213">
        <v>28</v>
      </c>
      <c r="E213">
        <v>26</v>
      </c>
      <c r="F213">
        <v>2</v>
      </c>
      <c r="G213">
        <v>0</v>
      </c>
    </row>
    <row r="214" spans="1:7" x14ac:dyDescent="0.25">
      <c r="A214" s="3" t="s">
        <v>71</v>
      </c>
      <c r="B214" s="3" t="s">
        <v>7</v>
      </c>
      <c r="C214" s="3">
        <v>4</v>
      </c>
      <c r="D214" s="3">
        <v>2</v>
      </c>
      <c r="E214" s="3">
        <v>1</v>
      </c>
      <c r="F214" s="3">
        <v>1</v>
      </c>
      <c r="G214" s="3">
        <v>0</v>
      </c>
    </row>
    <row r="215" spans="1:7" x14ac:dyDescent="0.25">
      <c r="A215" t="s">
        <v>71</v>
      </c>
      <c r="B215" t="s">
        <v>8</v>
      </c>
      <c r="C215">
        <v>71</v>
      </c>
      <c r="D215">
        <v>71</v>
      </c>
      <c r="E215">
        <v>66</v>
      </c>
      <c r="F215">
        <v>5</v>
      </c>
      <c r="G215">
        <v>0</v>
      </c>
    </row>
    <row r="216" spans="1:7" x14ac:dyDescent="0.25">
      <c r="A216" s="3" t="s">
        <v>71</v>
      </c>
      <c r="B216" s="3" t="s">
        <v>8</v>
      </c>
      <c r="C216" s="3">
        <v>52</v>
      </c>
      <c r="D216" s="3">
        <v>50</v>
      </c>
      <c r="E216" s="3">
        <v>39</v>
      </c>
      <c r="F216" s="3">
        <v>11</v>
      </c>
      <c r="G216" s="3">
        <v>0</v>
      </c>
    </row>
    <row r="217" spans="1:7" x14ac:dyDescent="0.25">
      <c r="A217" t="s">
        <v>71</v>
      </c>
      <c r="B217" t="s">
        <v>9</v>
      </c>
      <c r="C217">
        <v>42</v>
      </c>
      <c r="D217">
        <v>42</v>
      </c>
      <c r="E217">
        <v>40</v>
      </c>
      <c r="F217">
        <v>2</v>
      </c>
      <c r="G217">
        <v>0</v>
      </c>
    </row>
    <row r="218" spans="1:7" x14ac:dyDescent="0.25">
      <c r="A218" s="3" t="s">
        <v>71</v>
      </c>
      <c r="B218" s="3" t="s">
        <v>9</v>
      </c>
      <c r="C218" s="3">
        <v>15</v>
      </c>
      <c r="D218" s="3">
        <v>14</v>
      </c>
      <c r="E218" s="3">
        <v>12</v>
      </c>
      <c r="F218" s="3">
        <v>2</v>
      </c>
      <c r="G218" s="3">
        <v>0</v>
      </c>
    </row>
    <row r="219" spans="1:7" x14ac:dyDescent="0.25">
      <c r="A219" t="s">
        <v>71</v>
      </c>
      <c r="B219" t="s">
        <v>10</v>
      </c>
      <c r="C219">
        <v>193</v>
      </c>
      <c r="D219">
        <v>193</v>
      </c>
      <c r="E219">
        <v>174</v>
      </c>
      <c r="F219">
        <v>19</v>
      </c>
      <c r="G219">
        <v>0</v>
      </c>
    </row>
    <row r="220" spans="1:7" x14ac:dyDescent="0.25">
      <c r="A220" s="3" t="s">
        <v>71</v>
      </c>
      <c r="B220" s="3" t="s">
        <v>10</v>
      </c>
      <c r="C220" s="3">
        <v>170</v>
      </c>
      <c r="D220" s="3">
        <v>167</v>
      </c>
      <c r="E220" s="3">
        <v>148</v>
      </c>
      <c r="F220" s="3">
        <v>19</v>
      </c>
      <c r="G220" s="3">
        <v>0</v>
      </c>
    </row>
    <row r="221" spans="1:7" x14ac:dyDescent="0.25">
      <c r="A221" t="s">
        <v>71</v>
      </c>
      <c r="B221" t="s">
        <v>177</v>
      </c>
      <c r="C221">
        <v>102</v>
      </c>
      <c r="D221">
        <v>93</v>
      </c>
      <c r="E221">
        <v>84</v>
      </c>
      <c r="F221">
        <v>9</v>
      </c>
      <c r="G221">
        <v>1</v>
      </c>
    </row>
    <row r="222" spans="1:7" x14ac:dyDescent="0.25">
      <c r="A222" s="3" t="s">
        <v>71</v>
      </c>
      <c r="B222" s="3" t="s">
        <v>177</v>
      </c>
      <c r="C222" s="3">
        <v>66</v>
      </c>
      <c r="D222" s="3">
        <v>46</v>
      </c>
      <c r="E222" s="3">
        <v>40</v>
      </c>
      <c r="F222" s="3">
        <v>6</v>
      </c>
      <c r="G222" s="3">
        <v>0</v>
      </c>
    </row>
    <row r="223" spans="1:7" x14ac:dyDescent="0.25">
      <c r="A223" t="s">
        <v>18</v>
      </c>
      <c r="B223" t="s">
        <v>2</v>
      </c>
      <c r="C223">
        <v>17</v>
      </c>
      <c r="D223">
        <v>12</v>
      </c>
      <c r="E223">
        <v>10</v>
      </c>
      <c r="F223">
        <v>2</v>
      </c>
      <c r="G223">
        <v>0</v>
      </c>
    </row>
    <row r="224" spans="1:7" x14ac:dyDescent="0.25">
      <c r="A224" s="3" t="s">
        <v>18</v>
      </c>
      <c r="B224" s="3" t="s">
        <v>2</v>
      </c>
      <c r="C224" s="3">
        <v>8</v>
      </c>
      <c r="D224" s="3">
        <v>8</v>
      </c>
      <c r="E224" s="3">
        <v>8</v>
      </c>
      <c r="F224" s="3">
        <v>0</v>
      </c>
      <c r="G224" s="3">
        <v>0</v>
      </c>
    </row>
    <row r="225" spans="1:7" x14ac:dyDescent="0.25">
      <c r="A225" s="3" t="s">
        <v>18</v>
      </c>
      <c r="B225" s="3" t="s">
        <v>4</v>
      </c>
      <c r="C225" s="3">
        <v>1</v>
      </c>
      <c r="D225" s="3">
        <v>0</v>
      </c>
      <c r="E225" s="3">
        <v>0</v>
      </c>
      <c r="F225" s="3">
        <v>0</v>
      </c>
      <c r="G225" s="3">
        <v>0</v>
      </c>
    </row>
    <row r="226" spans="1:7" x14ac:dyDescent="0.25">
      <c r="A226" t="s">
        <v>18</v>
      </c>
      <c r="B226" t="s">
        <v>5</v>
      </c>
      <c r="C226">
        <v>136</v>
      </c>
      <c r="D226">
        <v>133</v>
      </c>
      <c r="E226">
        <f>69+54</f>
        <v>123</v>
      </c>
      <c r="F226">
        <f>65-58+3</f>
        <v>10</v>
      </c>
      <c r="G226">
        <v>0</v>
      </c>
    </row>
    <row r="227" spans="1:7" x14ac:dyDescent="0.25">
      <c r="A227" s="3" t="s">
        <v>18</v>
      </c>
      <c r="B227" s="3" t="s">
        <v>5</v>
      </c>
      <c r="C227" s="3">
        <v>58</v>
      </c>
      <c r="D227" s="3">
        <v>55</v>
      </c>
      <c r="E227" s="3">
        <v>51</v>
      </c>
      <c r="F227" s="3">
        <v>4</v>
      </c>
      <c r="G227" s="3">
        <v>0</v>
      </c>
    </row>
    <row r="228" spans="1:7" x14ac:dyDescent="0.25">
      <c r="A228" t="s">
        <v>18</v>
      </c>
      <c r="B228" t="s">
        <v>185</v>
      </c>
      <c r="C228">
        <f>89+16</f>
        <v>105</v>
      </c>
      <c r="D228">
        <f>89+16</f>
        <v>105</v>
      </c>
      <c r="E228">
        <f>70+26</f>
        <v>96</v>
      </c>
      <c r="F228">
        <f>35-28+2</f>
        <v>9</v>
      </c>
      <c r="G228">
        <v>0</v>
      </c>
    </row>
    <row r="229" spans="1:7" x14ac:dyDescent="0.25">
      <c r="A229" s="3" t="s">
        <v>18</v>
      </c>
      <c r="B229" s="3" t="s">
        <v>185</v>
      </c>
      <c r="C229" s="3">
        <v>95</v>
      </c>
      <c r="D229" s="3">
        <v>90</v>
      </c>
      <c r="E229" s="3">
        <v>79</v>
      </c>
      <c r="F229" s="3">
        <v>11</v>
      </c>
      <c r="G229" s="3">
        <v>0</v>
      </c>
    </row>
    <row r="230" spans="1:7" x14ac:dyDescent="0.25">
      <c r="A230" t="s">
        <v>18</v>
      </c>
      <c r="B230" t="s">
        <v>186</v>
      </c>
      <c r="C230">
        <f>165+8</f>
        <v>173</v>
      </c>
      <c r="D230">
        <f>160+8</f>
        <v>168</v>
      </c>
      <c r="E230">
        <f>106+7</f>
        <v>113</v>
      </c>
      <c r="F230">
        <f>54+1</f>
        <v>55</v>
      </c>
      <c r="G230">
        <v>0</v>
      </c>
    </row>
    <row r="231" spans="1:7" x14ac:dyDescent="0.25">
      <c r="A231" s="3" t="s">
        <v>18</v>
      </c>
      <c r="B231" s="3" t="s">
        <v>186</v>
      </c>
      <c r="C231" s="3">
        <v>157</v>
      </c>
      <c r="D231" s="3">
        <v>149</v>
      </c>
      <c r="E231" s="3">
        <f>110+30</f>
        <v>140</v>
      </c>
      <c r="F231" s="3">
        <f>40-40+9</f>
        <v>9</v>
      </c>
      <c r="G231" s="3">
        <v>1</v>
      </c>
    </row>
    <row r="232" spans="1:7" x14ac:dyDescent="0.25">
      <c r="A232" t="s">
        <v>18</v>
      </c>
      <c r="B232" t="s">
        <v>189</v>
      </c>
      <c r="C232">
        <v>2</v>
      </c>
      <c r="D232">
        <v>2</v>
      </c>
      <c r="E232">
        <v>2</v>
      </c>
      <c r="F232">
        <v>0</v>
      </c>
      <c r="G232">
        <v>0</v>
      </c>
    </row>
    <row r="233" spans="1:7" x14ac:dyDescent="0.25">
      <c r="A233" t="s">
        <v>18</v>
      </c>
      <c r="B233" t="s">
        <v>187</v>
      </c>
      <c r="C233">
        <f>194+1</f>
        <v>195</v>
      </c>
      <c r="D233">
        <f>193+1</f>
        <v>194</v>
      </c>
      <c r="E233">
        <f>149+23</f>
        <v>172</v>
      </c>
      <c r="F233">
        <f>45-27+4</f>
        <v>22</v>
      </c>
      <c r="G233">
        <v>1</v>
      </c>
    </row>
    <row r="234" spans="1:7" x14ac:dyDescent="0.25">
      <c r="A234" s="3" t="s">
        <v>18</v>
      </c>
      <c r="B234" s="3" t="s">
        <v>187</v>
      </c>
      <c r="C234" s="3">
        <v>124</v>
      </c>
      <c r="D234" s="3">
        <v>123</v>
      </c>
      <c r="E234" s="3">
        <v>107</v>
      </c>
      <c r="F234" s="3">
        <v>16</v>
      </c>
      <c r="G234" s="3">
        <v>0</v>
      </c>
    </row>
    <row r="235" spans="1:7" x14ac:dyDescent="0.25">
      <c r="A235" t="s">
        <v>18</v>
      </c>
      <c r="B235" t="s">
        <v>6</v>
      </c>
      <c r="C235">
        <v>56</v>
      </c>
      <c r="D235">
        <v>56</v>
      </c>
      <c r="E235">
        <v>56</v>
      </c>
      <c r="F235">
        <v>0</v>
      </c>
      <c r="G235">
        <v>0</v>
      </c>
    </row>
    <row r="236" spans="1:7" x14ac:dyDescent="0.25">
      <c r="A236" s="3" t="s">
        <v>18</v>
      </c>
      <c r="B236" s="3" t="s">
        <v>6</v>
      </c>
      <c r="C236" s="3">
        <v>18</v>
      </c>
      <c r="D236" s="3">
        <v>18</v>
      </c>
      <c r="E236" s="3">
        <v>18</v>
      </c>
      <c r="F236" s="3">
        <v>0</v>
      </c>
      <c r="G236" s="3">
        <v>0</v>
      </c>
    </row>
    <row r="237" spans="1:7" x14ac:dyDescent="0.25">
      <c r="A237" t="s">
        <v>18</v>
      </c>
      <c r="B237" t="s">
        <v>7</v>
      </c>
      <c r="C237">
        <v>28</v>
      </c>
      <c r="D237">
        <v>17</v>
      </c>
      <c r="E237">
        <v>12</v>
      </c>
      <c r="F237">
        <v>5</v>
      </c>
      <c r="G237">
        <v>0</v>
      </c>
    </row>
    <row r="238" spans="1:7" x14ac:dyDescent="0.25">
      <c r="A238" s="3" t="s">
        <v>18</v>
      </c>
      <c r="B238" s="3" t="s">
        <v>7</v>
      </c>
      <c r="C238" s="3">
        <v>7</v>
      </c>
      <c r="D238" s="3">
        <v>6</v>
      </c>
      <c r="E238" s="3">
        <v>5</v>
      </c>
      <c r="F238" s="3">
        <v>1</v>
      </c>
      <c r="G238" s="3">
        <v>0</v>
      </c>
    </row>
    <row r="239" spans="1:7" x14ac:dyDescent="0.25">
      <c r="A239" t="s">
        <v>18</v>
      </c>
      <c r="B239" t="s">
        <v>8</v>
      </c>
      <c r="C239">
        <v>47</v>
      </c>
      <c r="D239">
        <v>47</v>
      </c>
      <c r="E239">
        <v>44</v>
      </c>
      <c r="F239">
        <v>3</v>
      </c>
      <c r="G239">
        <v>0</v>
      </c>
    </row>
    <row r="240" spans="1:7" x14ac:dyDescent="0.25">
      <c r="A240" s="3" t="s">
        <v>18</v>
      </c>
      <c r="B240" s="3" t="s">
        <v>8</v>
      </c>
      <c r="C240" s="3">
        <v>33</v>
      </c>
      <c r="D240" s="3">
        <v>33</v>
      </c>
      <c r="E240" s="3">
        <v>30</v>
      </c>
      <c r="F240" s="3">
        <v>3</v>
      </c>
      <c r="G240" s="3">
        <v>0</v>
      </c>
    </row>
    <row r="241" spans="1:7" x14ac:dyDescent="0.25">
      <c r="A241" t="s">
        <v>18</v>
      </c>
      <c r="B241" t="s">
        <v>9</v>
      </c>
      <c r="C241">
        <v>29</v>
      </c>
      <c r="D241">
        <v>29</v>
      </c>
      <c r="E241">
        <v>27</v>
      </c>
      <c r="F241">
        <v>2</v>
      </c>
      <c r="G241">
        <v>0</v>
      </c>
    </row>
    <row r="242" spans="1:7" x14ac:dyDescent="0.25">
      <c r="A242" s="3" t="s">
        <v>18</v>
      </c>
      <c r="B242" s="3" t="s">
        <v>9</v>
      </c>
      <c r="C242" s="3">
        <v>18</v>
      </c>
      <c r="D242" s="3">
        <v>17</v>
      </c>
      <c r="E242" s="3">
        <v>17</v>
      </c>
      <c r="F242" s="3">
        <v>0</v>
      </c>
      <c r="G242" s="3">
        <v>0</v>
      </c>
    </row>
    <row r="243" spans="1:7" x14ac:dyDescent="0.25">
      <c r="A243" t="s">
        <v>18</v>
      </c>
      <c r="B243" t="s">
        <v>10</v>
      </c>
      <c r="C243">
        <v>196</v>
      </c>
      <c r="D243">
        <v>196</v>
      </c>
      <c r="E243">
        <v>159</v>
      </c>
      <c r="F243">
        <v>37</v>
      </c>
      <c r="G243">
        <v>0</v>
      </c>
    </row>
    <row r="244" spans="1:7" x14ac:dyDescent="0.25">
      <c r="A244" s="3" t="s">
        <v>18</v>
      </c>
      <c r="B244" s="3" t="s">
        <v>10</v>
      </c>
      <c r="C244" s="3">
        <v>128</v>
      </c>
      <c r="D244" s="3">
        <v>128</v>
      </c>
      <c r="E244" s="3">
        <v>106</v>
      </c>
      <c r="F244" s="3">
        <v>22</v>
      </c>
      <c r="G244" s="3">
        <v>0</v>
      </c>
    </row>
    <row r="245" spans="1:7" x14ac:dyDescent="0.25">
      <c r="A245" t="s">
        <v>18</v>
      </c>
      <c r="B245" t="s">
        <v>177</v>
      </c>
      <c r="C245">
        <v>122</v>
      </c>
      <c r="D245">
        <v>122</v>
      </c>
      <c r="E245">
        <v>110</v>
      </c>
      <c r="F245">
        <v>12</v>
      </c>
      <c r="G245">
        <v>0</v>
      </c>
    </row>
    <row r="246" spans="1:7" x14ac:dyDescent="0.25">
      <c r="A246" s="3" t="s">
        <v>18</v>
      </c>
      <c r="B246" s="3" t="s">
        <v>177</v>
      </c>
      <c r="C246" s="3">
        <v>51</v>
      </c>
      <c r="D246" s="3">
        <v>50</v>
      </c>
      <c r="E246" s="3">
        <v>50</v>
      </c>
      <c r="F246" s="3">
        <v>0</v>
      </c>
      <c r="G246" s="3">
        <v>0</v>
      </c>
    </row>
    <row r="247" spans="1:7" x14ac:dyDescent="0.25">
      <c r="A247" t="s">
        <v>147</v>
      </c>
      <c r="B247" t="s">
        <v>2</v>
      </c>
      <c r="C247">
        <v>16</v>
      </c>
      <c r="D247">
        <v>15</v>
      </c>
      <c r="E247">
        <f>11+2</f>
        <v>13</v>
      </c>
      <c r="F247">
        <f>4-2</f>
        <v>2</v>
      </c>
      <c r="G247">
        <v>0</v>
      </c>
    </row>
    <row r="248" spans="1:7" x14ac:dyDescent="0.25">
      <c r="A248" s="3" t="s">
        <v>147</v>
      </c>
      <c r="B248" s="3" t="s">
        <v>2</v>
      </c>
      <c r="C248" s="3">
        <v>11</v>
      </c>
      <c r="D248" s="3">
        <v>9</v>
      </c>
      <c r="E248" s="3">
        <v>8</v>
      </c>
      <c r="F248" s="3">
        <v>1</v>
      </c>
      <c r="G248" s="3">
        <v>0</v>
      </c>
    </row>
    <row r="249" spans="1:7" x14ac:dyDescent="0.25">
      <c r="A249" t="s">
        <v>147</v>
      </c>
      <c r="B249" t="s">
        <v>97</v>
      </c>
      <c r="C249">
        <v>5</v>
      </c>
      <c r="D249">
        <v>0</v>
      </c>
      <c r="E249">
        <v>0</v>
      </c>
      <c r="F249">
        <v>0</v>
      </c>
      <c r="G249">
        <v>0</v>
      </c>
    </row>
    <row r="250" spans="1:7" x14ac:dyDescent="0.25">
      <c r="A250" t="s">
        <v>147</v>
      </c>
      <c r="B250" t="s">
        <v>27</v>
      </c>
      <c r="C250">
        <v>5</v>
      </c>
      <c r="D250">
        <v>0</v>
      </c>
      <c r="E250">
        <v>0</v>
      </c>
      <c r="F250">
        <v>0</v>
      </c>
      <c r="G250">
        <v>0</v>
      </c>
    </row>
    <row r="251" spans="1:7" x14ac:dyDescent="0.25">
      <c r="A251" s="3" t="s">
        <v>147</v>
      </c>
      <c r="B251" s="3" t="s">
        <v>27</v>
      </c>
      <c r="C251" s="3">
        <v>2</v>
      </c>
      <c r="D251" s="3">
        <v>0</v>
      </c>
      <c r="E251" s="3">
        <v>0</v>
      </c>
      <c r="F251" s="3">
        <v>0</v>
      </c>
      <c r="G251" s="3">
        <v>0</v>
      </c>
    </row>
    <row r="252" spans="1:7" x14ac:dyDescent="0.25">
      <c r="A252" t="s">
        <v>147</v>
      </c>
      <c r="B252" t="s">
        <v>4</v>
      </c>
      <c r="C252">
        <v>10</v>
      </c>
      <c r="D252">
        <v>0</v>
      </c>
      <c r="E252">
        <v>0</v>
      </c>
      <c r="F252">
        <v>0</v>
      </c>
      <c r="G252">
        <v>0</v>
      </c>
    </row>
    <row r="253" spans="1:7" x14ac:dyDescent="0.25">
      <c r="A253" t="s">
        <v>147</v>
      </c>
      <c r="B253" t="s">
        <v>5</v>
      </c>
      <c r="C253">
        <v>59</v>
      </c>
      <c r="D253">
        <v>59</v>
      </c>
      <c r="E253">
        <v>42</v>
      </c>
      <c r="F253">
        <v>17</v>
      </c>
      <c r="G253">
        <v>0</v>
      </c>
    </row>
    <row r="254" spans="1:7" x14ac:dyDescent="0.25">
      <c r="A254" s="3" t="s">
        <v>147</v>
      </c>
      <c r="B254" s="3" t="s">
        <v>5</v>
      </c>
      <c r="C254" s="3">
        <v>67</v>
      </c>
      <c r="D254" s="3">
        <v>64</v>
      </c>
      <c r="E254" s="3">
        <f>50+10</f>
        <v>60</v>
      </c>
      <c r="F254" s="3">
        <f>15-13+2</f>
        <v>4</v>
      </c>
      <c r="G254" s="3">
        <v>1</v>
      </c>
    </row>
    <row r="255" spans="1:7" x14ac:dyDescent="0.25">
      <c r="A255" t="s">
        <v>147</v>
      </c>
      <c r="B255" t="s">
        <v>185</v>
      </c>
      <c r="C255">
        <f>157+50</f>
        <v>207</v>
      </c>
      <c r="D255">
        <f>152+50</f>
        <v>202</v>
      </c>
      <c r="E255">
        <f>144+27</f>
        <v>171</v>
      </c>
      <c r="F255">
        <f>58-36+9</f>
        <v>31</v>
      </c>
      <c r="G255">
        <v>1</v>
      </c>
    </row>
    <row r="256" spans="1:7" x14ac:dyDescent="0.25">
      <c r="A256" s="3" t="s">
        <v>147</v>
      </c>
      <c r="B256" s="3" t="s">
        <v>185</v>
      </c>
      <c r="C256" s="3">
        <v>143</v>
      </c>
      <c r="D256" s="3">
        <v>139</v>
      </c>
      <c r="E256" s="3">
        <v>114</v>
      </c>
      <c r="F256" s="3">
        <v>25</v>
      </c>
      <c r="G256" s="3">
        <v>2</v>
      </c>
    </row>
    <row r="257" spans="1:7" x14ac:dyDescent="0.25">
      <c r="A257" t="s">
        <v>147</v>
      </c>
      <c r="B257" t="s">
        <v>186</v>
      </c>
      <c r="C257">
        <f>263+44</f>
        <v>307</v>
      </c>
      <c r="D257">
        <f>258+44</f>
        <v>302</v>
      </c>
      <c r="E257">
        <f>243+42</f>
        <v>285</v>
      </c>
      <c r="F257">
        <f>15+2</f>
        <v>17</v>
      </c>
      <c r="G257">
        <v>0</v>
      </c>
    </row>
    <row r="258" spans="1:7" x14ac:dyDescent="0.25">
      <c r="A258" s="3" t="s">
        <v>147</v>
      </c>
      <c r="B258" s="3" t="s">
        <v>186</v>
      </c>
      <c r="C258" s="3">
        <v>261</v>
      </c>
      <c r="D258" s="3">
        <v>244</v>
      </c>
      <c r="E258" s="3">
        <f>218+11</f>
        <v>229</v>
      </c>
      <c r="F258" s="3">
        <f>27-14+2</f>
        <v>15</v>
      </c>
      <c r="G258" s="3">
        <v>1</v>
      </c>
    </row>
    <row r="259" spans="1:7" x14ac:dyDescent="0.25">
      <c r="A259" t="s">
        <v>147</v>
      </c>
      <c r="B259" t="s">
        <v>189</v>
      </c>
      <c r="C259">
        <v>1</v>
      </c>
      <c r="D259">
        <v>1</v>
      </c>
      <c r="E259">
        <v>1</v>
      </c>
      <c r="F259">
        <v>0</v>
      </c>
      <c r="G259">
        <v>0</v>
      </c>
    </row>
    <row r="260" spans="1:7" x14ac:dyDescent="0.25">
      <c r="A260" t="s">
        <v>147</v>
      </c>
      <c r="B260" t="s">
        <v>187</v>
      </c>
      <c r="C260">
        <f>323+10</f>
        <v>333</v>
      </c>
      <c r="D260">
        <f>321+10</f>
        <v>331</v>
      </c>
      <c r="E260">
        <f>229+9</f>
        <v>238</v>
      </c>
      <c r="F260">
        <f>92+1</f>
        <v>93</v>
      </c>
      <c r="G260">
        <v>1</v>
      </c>
    </row>
    <row r="261" spans="1:7" x14ac:dyDescent="0.25">
      <c r="A261" s="3" t="s">
        <v>147</v>
      </c>
      <c r="B261" s="3" t="s">
        <v>187</v>
      </c>
      <c r="C261" s="3">
        <v>270</v>
      </c>
      <c r="D261" s="3">
        <v>266</v>
      </c>
      <c r="E261" s="3">
        <f>208+35</f>
        <v>243</v>
      </c>
      <c r="F261" s="3">
        <f>58-38+3</f>
        <v>23</v>
      </c>
      <c r="G261" s="3">
        <v>1</v>
      </c>
    </row>
    <row r="262" spans="1:7" x14ac:dyDescent="0.25">
      <c r="A262" t="s">
        <v>147</v>
      </c>
      <c r="B262" t="s">
        <v>6</v>
      </c>
      <c r="C262">
        <v>103</v>
      </c>
      <c r="D262">
        <v>103</v>
      </c>
      <c r="E262">
        <v>103</v>
      </c>
      <c r="F262">
        <v>0</v>
      </c>
      <c r="G262">
        <v>0</v>
      </c>
    </row>
    <row r="263" spans="1:7" x14ac:dyDescent="0.25">
      <c r="A263" s="3" t="s">
        <v>147</v>
      </c>
      <c r="B263" s="3" t="s">
        <v>6</v>
      </c>
      <c r="C263" s="3">
        <v>98</v>
      </c>
      <c r="D263" s="3">
        <v>98</v>
      </c>
      <c r="E263" s="3">
        <v>98</v>
      </c>
      <c r="F263" s="3">
        <v>0</v>
      </c>
      <c r="G263" s="3">
        <v>0</v>
      </c>
    </row>
    <row r="264" spans="1:7" x14ac:dyDescent="0.25">
      <c r="A264" t="s">
        <v>147</v>
      </c>
      <c r="B264" t="s">
        <v>7</v>
      </c>
      <c r="C264">
        <v>11</v>
      </c>
      <c r="D264">
        <v>10</v>
      </c>
      <c r="E264">
        <v>9</v>
      </c>
      <c r="F264">
        <v>1</v>
      </c>
      <c r="G264">
        <v>0</v>
      </c>
    </row>
    <row r="265" spans="1:7" x14ac:dyDescent="0.25">
      <c r="A265" s="3" t="s">
        <v>147</v>
      </c>
      <c r="B265" s="3" t="s">
        <v>7</v>
      </c>
      <c r="C265" s="3">
        <v>11</v>
      </c>
      <c r="D265" s="3">
        <v>9</v>
      </c>
      <c r="E265" s="3">
        <v>7</v>
      </c>
      <c r="F265" s="3">
        <v>2</v>
      </c>
      <c r="G265" s="3">
        <v>0</v>
      </c>
    </row>
    <row r="266" spans="1:7" x14ac:dyDescent="0.25">
      <c r="A266" t="s">
        <v>147</v>
      </c>
      <c r="B266" t="s">
        <v>8</v>
      </c>
      <c r="C266">
        <v>108</v>
      </c>
      <c r="D266">
        <v>107</v>
      </c>
      <c r="E266">
        <v>91</v>
      </c>
      <c r="F266">
        <v>16</v>
      </c>
      <c r="G266">
        <v>0</v>
      </c>
    </row>
    <row r="267" spans="1:7" x14ac:dyDescent="0.25">
      <c r="A267" s="3" t="s">
        <v>147</v>
      </c>
      <c r="B267" s="3" t="s">
        <v>8</v>
      </c>
      <c r="C267" s="3">
        <v>68</v>
      </c>
      <c r="D267" s="3">
        <v>66</v>
      </c>
      <c r="E267" s="3">
        <v>57</v>
      </c>
      <c r="F267" s="3">
        <v>9</v>
      </c>
      <c r="G267" s="3">
        <v>0</v>
      </c>
    </row>
    <row r="268" spans="1:7" x14ac:dyDescent="0.25">
      <c r="A268" t="s">
        <v>147</v>
      </c>
      <c r="B268" t="s">
        <v>9</v>
      </c>
      <c r="C268">
        <v>70</v>
      </c>
      <c r="D268">
        <v>69</v>
      </c>
      <c r="E268">
        <v>64</v>
      </c>
      <c r="F268">
        <v>5</v>
      </c>
      <c r="G268">
        <v>0</v>
      </c>
    </row>
    <row r="269" spans="1:7" x14ac:dyDescent="0.25">
      <c r="A269" s="3" t="s">
        <v>147</v>
      </c>
      <c r="B269" s="3" t="s">
        <v>9</v>
      </c>
      <c r="C269" s="3">
        <v>29</v>
      </c>
      <c r="D269" s="3">
        <v>29</v>
      </c>
      <c r="E269" s="3">
        <v>25</v>
      </c>
      <c r="F269" s="3">
        <v>4</v>
      </c>
      <c r="G269" s="3">
        <v>0</v>
      </c>
    </row>
    <row r="270" spans="1:7" x14ac:dyDescent="0.25">
      <c r="A270" t="s">
        <v>147</v>
      </c>
      <c r="B270" t="s">
        <v>10</v>
      </c>
      <c r="C270">
        <v>292</v>
      </c>
      <c r="D270">
        <v>292</v>
      </c>
      <c r="E270">
        <v>276</v>
      </c>
      <c r="F270">
        <v>16</v>
      </c>
      <c r="G270">
        <v>0</v>
      </c>
    </row>
    <row r="271" spans="1:7" x14ac:dyDescent="0.25">
      <c r="A271" s="3" t="s">
        <v>147</v>
      </c>
      <c r="B271" s="3" t="s">
        <v>10</v>
      </c>
      <c r="C271" s="3">
        <v>188</v>
      </c>
      <c r="D271" s="3">
        <v>187</v>
      </c>
      <c r="E271" s="3">
        <v>173</v>
      </c>
      <c r="F271" s="3">
        <v>14</v>
      </c>
      <c r="G271" s="3">
        <v>0</v>
      </c>
    </row>
    <row r="272" spans="1:7" x14ac:dyDescent="0.25">
      <c r="A272" t="s">
        <v>147</v>
      </c>
      <c r="B272" t="s">
        <v>177</v>
      </c>
      <c r="C272">
        <v>66</v>
      </c>
      <c r="D272">
        <v>61</v>
      </c>
      <c r="E272">
        <v>48</v>
      </c>
      <c r="F272">
        <v>13</v>
      </c>
      <c r="G272">
        <v>0</v>
      </c>
    </row>
    <row r="273" spans="1:7" x14ac:dyDescent="0.25">
      <c r="A273" s="3" t="s">
        <v>147</v>
      </c>
      <c r="B273" s="3" t="s">
        <v>177</v>
      </c>
      <c r="C273" s="3">
        <v>52</v>
      </c>
      <c r="D273" s="3">
        <v>48</v>
      </c>
      <c r="E273" s="3">
        <v>48</v>
      </c>
      <c r="F273" s="3">
        <v>0</v>
      </c>
      <c r="G273" s="3">
        <v>0</v>
      </c>
    </row>
    <row r="274" spans="1:7" x14ac:dyDescent="0.25">
      <c r="A274" t="s">
        <v>19</v>
      </c>
      <c r="B274" t="s">
        <v>2</v>
      </c>
      <c r="C274">
        <v>17</v>
      </c>
      <c r="D274">
        <v>14</v>
      </c>
      <c r="E274">
        <v>10</v>
      </c>
      <c r="F274">
        <v>4</v>
      </c>
      <c r="G274">
        <v>0</v>
      </c>
    </row>
    <row r="275" spans="1:7" x14ac:dyDescent="0.25">
      <c r="A275" s="3" t="s">
        <v>19</v>
      </c>
      <c r="B275" s="3" t="s">
        <v>2</v>
      </c>
      <c r="C275" s="3">
        <v>8</v>
      </c>
      <c r="D275" s="3">
        <v>8</v>
      </c>
      <c r="E275" s="3">
        <f>4+1</f>
        <v>5</v>
      </c>
      <c r="F275" s="3">
        <f>4-2+1</f>
        <v>3</v>
      </c>
      <c r="G275" s="3">
        <v>0</v>
      </c>
    </row>
    <row r="276" spans="1:7" x14ac:dyDescent="0.25">
      <c r="A276" t="s">
        <v>19</v>
      </c>
      <c r="B276" t="s">
        <v>4</v>
      </c>
      <c r="C276">
        <v>10</v>
      </c>
      <c r="D276">
        <v>0</v>
      </c>
      <c r="E276">
        <v>0</v>
      </c>
      <c r="F276">
        <v>0</v>
      </c>
      <c r="G276">
        <v>0</v>
      </c>
    </row>
    <row r="277" spans="1:7" x14ac:dyDescent="0.25">
      <c r="A277" s="3" t="s">
        <v>19</v>
      </c>
      <c r="B277" s="3" t="s">
        <v>4</v>
      </c>
      <c r="C277" s="3">
        <v>1</v>
      </c>
      <c r="D277" s="3">
        <v>0</v>
      </c>
      <c r="E277" s="3">
        <v>0</v>
      </c>
      <c r="F277" s="3">
        <v>0</v>
      </c>
      <c r="G277" s="3">
        <v>0</v>
      </c>
    </row>
    <row r="278" spans="1:7" x14ac:dyDescent="0.25">
      <c r="A278" t="s">
        <v>19</v>
      </c>
      <c r="B278" t="s">
        <v>5</v>
      </c>
      <c r="C278">
        <v>49</v>
      </c>
      <c r="D278">
        <v>48</v>
      </c>
      <c r="E278">
        <f>24+18</f>
        <v>42</v>
      </c>
      <c r="F278">
        <f>24-21+3</f>
        <v>6</v>
      </c>
      <c r="G278">
        <v>0</v>
      </c>
    </row>
    <row r="279" spans="1:7" x14ac:dyDescent="0.25">
      <c r="A279" s="3" t="s">
        <v>19</v>
      </c>
      <c r="B279" s="3" t="s">
        <v>5</v>
      </c>
      <c r="C279" s="3">
        <v>67</v>
      </c>
      <c r="D279" s="3">
        <v>63</v>
      </c>
      <c r="E279" s="3">
        <v>43</v>
      </c>
      <c r="F279" s="3">
        <v>20</v>
      </c>
      <c r="G279" s="3">
        <v>0</v>
      </c>
    </row>
    <row r="280" spans="1:7" x14ac:dyDescent="0.25">
      <c r="A280" t="s">
        <v>19</v>
      </c>
      <c r="B280" t="s">
        <v>185</v>
      </c>
      <c r="C280">
        <f>104+13</f>
        <v>117</v>
      </c>
      <c r="D280">
        <f>102+13</f>
        <v>115</v>
      </c>
      <c r="E280">
        <f>43+33</f>
        <v>76</v>
      </c>
      <c r="F280">
        <f>72-45+12</f>
        <v>39</v>
      </c>
      <c r="G280">
        <v>1</v>
      </c>
    </row>
    <row r="281" spans="1:7" x14ac:dyDescent="0.25">
      <c r="A281" s="3" t="s">
        <v>19</v>
      </c>
      <c r="B281" s="3" t="s">
        <v>185</v>
      </c>
      <c r="C281" s="3">
        <v>79</v>
      </c>
      <c r="D281" s="3">
        <v>76</v>
      </c>
      <c r="E281" s="3">
        <v>51</v>
      </c>
      <c r="F281" s="3">
        <v>25</v>
      </c>
      <c r="G281" s="3">
        <v>0</v>
      </c>
    </row>
    <row r="282" spans="1:7" x14ac:dyDescent="0.25">
      <c r="A282" t="s">
        <v>19</v>
      </c>
      <c r="B282" t="s">
        <v>186</v>
      </c>
      <c r="C282">
        <f>209+10</f>
        <v>219</v>
      </c>
      <c r="D282">
        <v>204</v>
      </c>
      <c r="E282">
        <f>102+44</f>
        <v>146</v>
      </c>
      <c r="F282">
        <f>105-65+18</f>
        <v>58</v>
      </c>
      <c r="G282">
        <v>1</v>
      </c>
    </row>
    <row r="283" spans="1:7" x14ac:dyDescent="0.25">
      <c r="A283" s="3" t="s">
        <v>19</v>
      </c>
      <c r="B283" s="3" t="s">
        <v>186</v>
      </c>
      <c r="C283" s="3">
        <v>189</v>
      </c>
      <c r="D283" s="3">
        <v>167</v>
      </c>
      <c r="E283" s="3">
        <v>108</v>
      </c>
      <c r="F283" s="3">
        <v>59</v>
      </c>
      <c r="G283" s="3">
        <v>3</v>
      </c>
    </row>
    <row r="284" spans="1:7" x14ac:dyDescent="0.25">
      <c r="A284" t="s">
        <v>19</v>
      </c>
      <c r="B284" t="s">
        <v>189</v>
      </c>
      <c r="C284">
        <v>5</v>
      </c>
      <c r="D284">
        <v>5</v>
      </c>
      <c r="E284">
        <v>4</v>
      </c>
      <c r="F284">
        <v>1</v>
      </c>
      <c r="G284">
        <v>0</v>
      </c>
    </row>
    <row r="285" spans="1:7" x14ac:dyDescent="0.25">
      <c r="A285" s="3" t="s">
        <v>19</v>
      </c>
      <c r="B285" s="3" t="s">
        <v>189</v>
      </c>
      <c r="C285" s="3">
        <v>1</v>
      </c>
      <c r="D285" s="3">
        <v>1</v>
      </c>
      <c r="E285" s="3">
        <v>1</v>
      </c>
      <c r="F285" s="3">
        <v>0</v>
      </c>
      <c r="G285" s="3">
        <v>0</v>
      </c>
    </row>
    <row r="286" spans="1:7" x14ac:dyDescent="0.25">
      <c r="A286" t="s">
        <v>19</v>
      </c>
      <c r="B286" t="s">
        <v>187</v>
      </c>
      <c r="C286">
        <f>160+2</f>
        <v>162</v>
      </c>
      <c r="D286">
        <v>158</v>
      </c>
      <c r="E286">
        <f>56+40</f>
        <v>96</v>
      </c>
      <c r="F286">
        <f>103-66+25</f>
        <v>62</v>
      </c>
      <c r="G286">
        <v>1</v>
      </c>
    </row>
    <row r="287" spans="1:7" x14ac:dyDescent="0.25">
      <c r="A287" s="3" t="s">
        <v>19</v>
      </c>
      <c r="B287" s="3" t="s">
        <v>187</v>
      </c>
      <c r="C287" s="3">
        <v>169</v>
      </c>
      <c r="D287" s="3">
        <v>160</v>
      </c>
      <c r="E287" s="3">
        <v>102</v>
      </c>
      <c r="F287" s="3">
        <v>58</v>
      </c>
      <c r="G287" s="3">
        <v>1</v>
      </c>
    </row>
    <row r="288" spans="1:7" x14ac:dyDescent="0.25">
      <c r="A288" t="s">
        <v>19</v>
      </c>
      <c r="B288" t="s">
        <v>6</v>
      </c>
      <c r="C288">
        <v>48</v>
      </c>
      <c r="D288">
        <v>47</v>
      </c>
      <c r="E288">
        <v>47</v>
      </c>
      <c r="F288">
        <v>0</v>
      </c>
      <c r="G288">
        <v>0</v>
      </c>
    </row>
    <row r="289" spans="1:7" x14ac:dyDescent="0.25">
      <c r="A289" s="3" t="s">
        <v>19</v>
      </c>
      <c r="B289" s="3" t="s">
        <v>6</v>
      </c>
      <c r="C289" s="3">
        <v>31</v>
      </c>
      <c r="D289" s="3">
        <v>29</v>
      </c>
      <c r="E289" s="3">
        <v>27</v>
      </c>
      <c r="F289" s="3">
        <v>2</v>
      </c>
      <c r="G289" s="3">
        <v>0</v>
      </c>
    </row>
    <row r="290" spans="1:7" x14ac:dyDescent="0.25">
      <c r="A290" t="s">
        <v>19</v>
      </c>
      <c r="B290" t="s">
        <v>7</v>
      </c>
      <c r="C290">
        <v>3</v>
      </c>
      <c r="D290">
        <v>2</v>
      </c>
      <c r="E290">
        <v>1</v>
      </c>
      <c r="F290">
        <v>1</v>
      </c>
      <c r="G290">
        <v>0</v>
      </c>
    </row>
    <row r="291" spans="1:7" x14ac:dyDescent="0.25">
      <c r="A291" s="3" t="s">
        <v>19</v>
      </c>
      <c r="B291" s="3" t="s">
        <v>7</v>
      </c>
      <c r="C291" s="3">
        <v>2</v>
      </c>
      <c r="D291" s="3">
        <v>2</v>
      </c>
      <c r="E291" s="3">
        <v>1</v>
      </c>
      <c r="F291" s="3">
        <v>1</v>
      </c>
      <c r="G291" s="3">
        <v>0</v>
      </c>
    </row>
    <row r="292" spans="1:7" x14ac:dyDescent="0.25">
      <c r="A292" t="s">
        <v>19</v>
      </c>
      <c r="B292" t="s">
        <v>8</v>
      </c>
      <c r="C292">
        <v>43</v>
      </c>
      <c r="D292">
        <v>42</v>
      </c>
      <c r="E292">
        <v>35</v>
      </c>
      <c r="F292">
        <v>7</v>
      </c>
      <c r="G292">
        <v>1</v>
      </c>
    </row>
    <row r="293" spans="1:7" x14ac:dyDescent="0.25">
      <c r="A293" s="3" t="s">
        <v>19</v>
      </c>
      <c r="B293" s="3" t="s">
        <v>8</v>
      </c>
      <c r="C293" s="3">
        <v>36</v>
      </c>
      <c r="D293" s="3">
        <v>29</v>
      </c>
      <c r="E293" s="3">
        <v>17</v>
      </c>
      <c r="F293" s="3">
        <v>12</v>
      </c>
      <c r="G293" s="3">
        <v>0</v>
      </c>
    </row>
    <row r="294" spans="1:7" x14ac:dyDescent="0.25">
      <c r="A294" t="s">
        <v>19</v>
      </c>
      <c r="B294" t="s">
        <v>9</v>
      </c>
      <c r="C294">
        <v>33</v>
      </c>
      <c r="D294">
        <v>33</v>
      </c>
      <c r="E294">
        <v>30</v>
      </c>
      <c r="F294">
        <v>3</v>
      </c>
      <c r="G294">
        <v>0</v>
      </c>
    </row>
    <row r="295" spans="1:7" x14ac:dyDescent="0.25">
      <c r="A295" s="3" t="s">
        <v>19</v>
      </c>
      <c r="B295" s="3" t="s">
        <v>9</v>
      </c>
      <c r="C295" s="3">
        <v>13</v>
      </c>
      <c r="D295" s="3">
        <v>12</v>
      </c>
      <c r="E295" s="3">
        <v>9</v>
      </c>
      <c r="F295" s="3">
        <v>3</v>
      </c>
      <c r="G295" s="3">
        <v>0</v>
      </c>
    </row>
    <row r="296" spans="1:7" x14ac:dyDescent="0.25">
      <c r="A296" t="s">
        <v>19</v>
      </c>
      <c r="B296" t="s">
        <v>10</v>
      </c>
      <c r="C296">
        <v>145</v>
      </c>
      <c r="D296">
        <v>145</v>
      </c>
      <c r="E296">
        <v>128</v>
      </c>
      <c r="F296">
        <v>17</v>
      </c>
      <c r="G296">
        <v>0</v>
      </c>
    </row>
    <row r="297" spans="1:7" x14ac:dyDescent="0.25">
      <c r="A297" s="3" t="s">
        <v>19</v>
      </c>
      <c r="B297" s="3" t="s">
        <v>10</v>
      </c>
      <c r="C297" s="3">
        <v>114</v>
      </c>
      <c r="D297" s="3">
        <v>114</v>
      </c>
      <c r="E297" s="3">
        <v>99</v>
      </c>
      <c r="F297" s="3">
        <v>15</v>
      </c>
      <c r="G297" s="3">
        <v>0</v>
      </c>
    </row>
    <row r="298" spans="1:7" x14ac:dyDescent="0.25">
      <c r="A298" t="s">
        <v>19</v>
      </c>
      <c r="B298" t="s">
        <v>177</v>
      </c>
      <c r="C298">
        <v>34</v>
      </c>
      <c r="D298">
        <v>32</v>
      </c>
      <c r="E298">
        <v>28</v>
      </c>
      <c r="F298">
        <v>4</v>
      </c>
      <c r="G298">
        <v>0</v>
      </c>
    </row>
    <row r="299" spans="1:7" x14ac:dyDescent="0.25">
      <c r="A299" s="3" t="s">
        <v>19</v>
      </c>
      <c r="B299" s="3" t="s">
        <v>177</v>
      </c>
      <c r="C299" s="3">
        <v>27</v>
      </c>
      <c r="D299" s="3">
        <v>20</v>
      </c>
      <c r="E299" s="3">
        <v>20</v>
      </c>
      <c r="F299" s="3">
        <v>0</v>
      </c>
      <c r="G299" s="3">
        <v>0</v>
      </c>
    </row>
    <row r="300" spans="1:7" x14ac:dyDescent="0.25">
      <c r="A300" t="s">
        <v>26</v>
      </c>
      <c r="B300" t="s">
        <v>2</v>
      </c>
      <c r="C300">
        <v>10</v>
      </c>
      <c r="D300">
        <v>9</v>
      </c>
      <c r="E300">
        <v>5</v>
      </c>
      <c r="F300">
        <v>4</v>
      </c>
      <c r="G300">
        <v>0</v>
      </c>
    </row>
    <row r="301" spans="1:7" x14ac:dyDescent="0.25">
      <c r="A301" s="3" t="s">
        <v>26</v>
      </c>
      <c r="B301" s="3" t="s">
        <v>2</v>
      </c>
      <c r="C301" s="3">
        <v>13</v>
      </c>
      <c r="D301" s="3">
        <v>12</v>
      </c>
      <c r="E301" s="3">
        <v>10</v>
      </c>
      <c r="F301" s="3">
        <v>2</v>
      </c>
      <c r="G301" s="3">
        <v>0</v>
      </c>
    </row>
    <row r="302" spans="1:7" x14ac:dyDescent="0.25">
      <c r="A302" t="s">
        <v>26</v>
      </c>
      <c r="B302" t="s">
        <v>97</v>
      </c>
      <c r="C302">
        <v>1</v>
      </c>
      <c r="D302">
        <v>0</v>
      </c>
      <c r="E302">
        <v>0</v>
      </c>
      <c r="F302">
        <v>0</v>
      </c>
      <c r="G302">
        <v>0</v>
      </c>
    </row>
    <row r="303" spans="1:7" x14ac:dyDescent="0.25">
      <c r="A303" s="3" t="s">
        <v>26</v>
      </c>
      <c r="B303" s="3" t="s">
        <v>97</v>
      </c>
      <c r="C303" s="3">
        <v>1</v>
      </c>
      <c r="D303" s="3">
        <v>0</v>
      </c>
      <c r="E303" s="3">
        <v>0</v>
      </c>
      <c r="F303" s="3">
        <v>0</v>
      </c>
      <c r="G303" s="3">
        <v>0</v>
      </c>
    </row>
    <row r="304" spans="1:7" x14ac:dyDescent="0.25">
      <c r="A304" t="s">
        <v>26</v>
      </c>
      <c r="B304" t="s">
        <v>4</v>
      </c>
      <c r="C304">
        <v>17</v>
      </c>
      <c r="D304">
        <v>0</v>
      </c>
      <c r="E304">
        <v>0</v>
      </c>
      <c r="F304">
        <v>0</v>
      </c>
      <c r="G304">
        <v>0</v>
      </c>
    </row>
    <row r="305" spans="1:7" x14ac:dyDescent="0.25">
      <c r="A305" s="3" t="s">
        <v>26</v>
      </c>
      <c r="B305" s="3" t="s">
        <v>4</v>
      </c>
      <c r="C305" s="3">
        <v>2</v>
      </c>
      <c r="D305" s="3">
        <v>0</v>
      </c>
      <c r="E305" s="3">
        <v>0</v>
      </c>
      <c r="F305" s="3">
        <v>0</v>
      </c>
      <c r="G305" s="3">
        <v>0</v>
      </c>
    </row>
    <row r="306" spans="1:7" x14ac:dyDescent="0.25">
      <c r="A306" t="s">
        <v>26</v>
      </c>
      <c r="B306" t="s">
        <v>5</v>
      </c>
      <c r="C306">
        <v>73</v>
      </c>
      <c r="D306">
        <v>73</v>
      </c>
      <c r="E306">
        <f>47+11</f>
        <v>58</v>
      </c>
      <c r="F306">
        <f>26-15+4</f>
        <v>15</v>
      </c>
      <c r="G306">
        <v>0</v>
      </c>
    </row>
    <row r="307" spans="1:7" x14ac:dyDescent="0.25">
      <c r="A307" s="3" t="s">
        <v>26</v>
      </c>
      <c r="B307" s="3" t="s">
        <v>5</v>
      </c>
      <c r="C307" s="3">
        <v>51</v>
      </c>
      <c r="D307" s="3">
        <v>51</v>
      </c>
      <c r="E307" s="3">
        <v>49</v>
      </c>
      <c r="F307" s="3">
        <v>2</v>
      </c>
      <c r="G307" s="3">
        <v>0</v>
      </c>
    </row>
    <row r="308" spans="1:7" x14ac:dyDescent="0.25">
      <c r="A308" t="s">
        <v>26</v>
      </c>
      <c r="B308" t="s">
        <v>185</v>
      </c>
      <c r="C308">
        <f>89+22</f>
        <v>111</v>
      </c>
      <c r="D308">
        <f>87+22</f>
        <v>109</v>
      </c>
      <c r="E308">
        <f>77+27</f>
        <v>104</v>
      </c>
      <c r="F308">
        <f>32-27+0</f>
        <v>5</v>
      </c>
      <c r="G308">
        <v>1</v>
      </c>
    </row>
    <row r="309" spans="1:7" x14ac:dyDescent="0.25">
      <c r="A309" s="3" t="s">
        <v>26</v>
      </c>
      <c r="B309" s="3" t="s">
        <v>185</v>
      </c>
      <c r="C309" s="3">
        <v>97</v>
      </c>
      <c r="D309" s="3">
        <v>92</v>
      </c>
      <c r="E309" s="3">
        <v>77</v>
      </c>
      <c r="F309" s="3">
        <v>15</v>
      </c>
      <c r="G309" s="3">
        <v>2</v>
      </c>
    </row>
    <row r="310" spans="1:7" x14ac:dyDescent="0.25">
      <c r="A310" t="s">
        <v>26</v>
      </c>
      <c r="B310" t="s">
        <v>186</v>
      </c>
      <c r="C310">
        <f>181+9</f>
        <v>190</v>
      </c>
      <c r="D310">
        <v>180</v>
      </c>
      <c r="E310">
        <f>93+45</f>
        <v>138</v>
      </c>
      <c r="F310">
        <f>88-62+16</f>
        <v>42</v>
      </c>
      <c r="G310">
        <v>1</v>
      </c>
    </row>
    <row r="311" spans="1:7" x14ac:dyDescent="0.25">
      <c r="A311" s="3" t="s">
        <v>26</v>
      </c>
      <c r="B311" s="3" t="s">
        <v>186</v>
      </c>
      <c r="C311" s="3">
        <v>164</v>
      </c>
      <c r="D311" s="3">
        <v>157</v>
      </c>
      <c r="E311" s="3">
        <v>120</v>
      </c>
      <c r="F311" s="3">
        <v>37</v>
      </c>
      <c r="G311" s="3">
        <v>1</v>
      </c>
    </row>
    <row r="312" spans="1:7" x14ac:dyDescent="0.25">
      <c r="A312" t="s">
        <v>26</v>
      </c>
      <c r="B312" t="s">
        <v>187</v>
      </c>
      <c r="C312">
        <f>193+3</f>
        <v>196</v>
      </c>
      <c r="D312">
        <f>191+3</f>
        <v>194</v>
      </c>
      <c r="E312">
        <f>110+3</f>
        <v>113</v>
      </c>
      <c r="F312">
        <v>81</v>
      </c>
      <c r="G312">
        <v>0</v>
      </c>
    </row>
    <row r="313" spans="1:7" x14ac:dyDescent="0.25">
      <c r="A313" s="3" t="s">
        <v>26</v>
      </c>
      <c r="B313" s="3" t="s">
        <v>187</v>
      </c>
      <c r="C313" s="3">
        <v>125</v>
      </c>
      <c r="D313" s="3">
        <v>123</v>
      </c>
      <c r="E313" s="3">
        <f>88+30</f>
        <v>118</v>
      </c>
      <c r="F313" s="3">
        <f>35-34+4</f>
        <v>5</v>
      </c>
      <c r="G313" s="3">
        <v>1</v>
      </c>
    </row>
    <row r="314" spans="1:7" x14ac:dyDescent="0.25">
      <c r="A314" t="s">
        <v>26</v>
      </c>
      <c r="B314" t="s">
        <v>6</v>
      </c>
      <c r="C314">
        <v>48</v>
      </c>
      <c r="D314">
        <v>48</v>
      </c>
      <c r="E314">
        <v>47</v>
      </c>
      <c r="F314">
        <v>1</v>
      </c>
      <c r="G314">
        <v>0</v>
      </c>
    </row>
    <row r="315" spans="1:7" x14ac:dyDescent="0.25">
      <c r="A315" s="3" t="s">
        <v>26</v>
      </c>
      <c r="B315" s="3" t="s">
        <v>6</v>
      </c>
      <c r="C315" s="3">
        <v>24</v>
      </c>
      <c r="D315" s="3">
        <v>22</v>
      </c>
      <c r="E315" s="3">
        <v>21</v>
      </c>
      <c r="F315" s="3">
        <v>1</v>
      </c>
      <c r="G315" s="3">
        <v>0</v>
      </c>
    </row>
    <row r="316" spans="1:7" x14ac:dyDescent="0.25">
      <c r="A316" t="s">
        <v>26</v>
      </c>
      <c r="B316" t="s">
        <v>7</v>
      </c>
      <c r="C316">
        <v>139</v>
      </c>
      <c r="D316">
        <v>105</v>
      </c>
      <c r="E316">
        <v>95</v>
      </c>
      <c r="F316">
        <v>10</v>
      </c>
      <c r="G316">
        <v>0</v>
      </c>
    </row>
    <row r="317" spans="1:7" x14ac:dyDescent="0.25">
      <c r="A317" s="3" t="s">
        <v>26</v>
      </c>
      <c r="B317" s="3" t="s">
        <v>7</v>
      </c>
      <c r="C317" s="3">
        <v>115</v>
      </c>
      <c r="D317" s="3">
        <v>96</v>
      </c>
      <c r="E317" s="3">
        <v>83</v>
      </c>
      <c r="F317" s="3">
        <v>13</v>
      </c>
      <c r="G317" s="3">
        <v>0</v>
      </c>
    </row>
    <row r="318" spans="1:7" x14ac:dyDescent="0.25">
      <c r="A318" t="s">
        <v>26</v>
      </c>
      <c r="B318" t="s">
        <v>8</v>
      </c>
      <c r="C318">
        <v>52</v>
      </c>
      <c r="D318">
        <v>52</v>
      </c>
      <c r="E318">
        <v>49</v>
      </c>
      <c r="F318">
        <v>3</v>
      </c>
      <c r="G318">
        <v>0</v>
      </c>
    </row>
    <row r="319" spans="1:7" x14ac:dyDescent="0.25">
      <c r="A319" s="3" t="s">
        <v>26</v>
      </c>
      <c r="B319" s="3" t="s">
        <v>8</v>
      </c>
      <c r="C319" s="3">
        <v>34</v>
      </c>
      <c r="D319" s="3">
        <v>32</v>
      </c>
      <c r="E319" s="3">
        <v>32</v>
      </c>
      <c r="F319" s="3">
        <v>0</v>
      </c>
      <c r="G319" s="3">
        <v>0</v>
      </c>
    </row>
    <row r="320" spans="1:7" x14ac:dyDescent="0.25">
      <c r="A320" t="s">
        <v>26</v>
      </c>
      <c r="B320" t="s">
        <v>9</v>
      </c>
      <c r="C320">
        <v>28</v>
      </c>
      <c r="D320">
        <v>28</v>
      </c>
      <c r="E320">
        <v>27</v>
      </c>
      <c r="F320">
        <v>1</v>
      </c>
      <c r="G320">
        <v>0</v>
      </c>
    </row>
    <row r="321" spans="1:7" x14ac:dyDescent="0.25">
      <c r="A321" s="3" t="s">
        <v>26</v>
      </c>
      <c r="B321" s="3" t="s">
        <v>9</v>
      </c>
      <c r="C321" s="3">
        <v>15</v>
      </c>
      <c r="D321" s="3">
        <v>15</v>
      </c>
      <c r="E321" s="3">
        <v>15</v>
      </c>
      <c r="F321" s="3">
        <v>0</v>
      </c>
      <c r="G321" s="3">
        <v>0</v>
      </c>
    </row>
    <row r="322" spans="1:7" x14ac:dyDescent="0.25">
      <c r="A322" t="s">
        <v>26</v>
      </c>
      <c r="B322" t="s">
        <v>10</v>
      </c>
      <c r="C322">
        <v>171</v>
      </c>
      <c r="D322">
        <v>171</v>
      </c>
      <c r="E322">
        <v>163</v>
      </c>
      <c r="F322">
        <v>8</v>
      </c>
      <c r="G322">
        <v>0</v>
      </c>
    </row>
    <row r="323" spans="1:7" x14ac:dyDescent="0.25">
      <c r="A323" s="3" t="s">
        <v>26</v>
      </c>
      <c r="B323" s="3" t="s">
        <v>10</v>
      </c>
      <c r="C323" s="3">
        <v>125</v>
      </c>
      <c r="D323" s="3">
        <v>125</v>
      </c>
      <c r="E323" s="3">
        <v>110</v>
      </c>
      <c r="F323" s="3">
        <v>15</v>
      </c>
      <c r="G323" s="3">
        <v>0</v>
      </c>
    </row>
    <row r="324" spans="1:7" x14ac:dyDescent="0.25">
      <c r="A324" t="s">
        <v>26</v>
      </c>
      <c r="B324" t="s">
        <v>177</v>
      </c>
      <c r="C324">
        <v>62</v>
      </c>
      <c r="D324">
        <v>61</v>
      </c>
      <c r="E324">
        <v>56</v>
      </c>
      <c r="F324">
        <v>5</v>
      </c>
      <c r="G324">
        <v>0</v>
      </c>
    </row>
    <row r="325" spans="1:7" x14ac:dyDescent="0.25">
      <c r="A325" s="3" t="s">
        <v>26</v>
      </c>
      <c r="B325" s="3" t="s">
        <v>177</v>
      </c>
      <c r="C325" s="3">
        <v>51</v>
      </c>
      <c r="D325" s="3">
        <v>48</v>
      </c>
      <c r="E325" s="3">
        <v>46</v>
      </c>
      <c r="F325" s="3">
        <v>2</v>
      </c>
      <c r="G325" s="3">
        <v>0</v>
      </c>
    </row>
    <row r="326" spans="1:7" x14ac:dyDescent="0.25">
      <c r="A326" t="s">
        <v>191</v>
      </c>
      <c r="B326" t="s">
        <v>1</v>
      </c>
      <c r="C326">
        <v>2</v>
      </c>
      <c r="D326">
        <v>2</v>
      </c>
      <c r="E326">
        <v>2</v>
      </c>
      <c r="F326">
        <v>0</v>
      </c>
      <c r="G326">
        <v>0</v>
      </c>
    </row>
    <row r="327" spans="1:7" x14ac:dyDescent="0.25">
      <c r="A327" s="3" t="s">
        <v>191</v>
      </c>
      <c r="B327" s="3" t="s">
        <v>1</v>
      </c>
      <c r="C327" s="3">
        <v>3</v>
      </c>
      <c r="D327" s="3">
        <v>2</v>
      </c>
      <c r="E327" s="3">
        <v>2</v>
      </c>
      <c r="F327" s="3">
        <v>0</v>
      </c>
      <c r="G327" s="3">
        <v>1</v>
      </c>
    </row>
    <row r="328" spans="1:7" x14ac:dyDescent="0.25">
      <c r="A328" t="s">
        <v>191</v>
      </c>
      <c r="B328" t="s">
        <v>2</v>
      </c>
      <c r="C328">
        <v>22</v>
      </c>
      <c r="D328">
        <v>20</v>
      </c>
      <c r="E328">
        <f>14+3</f>
        <v>17</v>
      </c>
      <c r="F328">
        <f>6-3+0</f>
        <v>3</v>
      </c>
      <c r="G328">
        <v>0</v>
      </c>
    </row>
    <row r="329" spans="1:7" x14ac:dyDescent="0.25">
      <c r="A329" s="3" t="s">
        <v>191</v>
      </c>
      <c r="B329" s="3" t="s">
        <v>2</v>
      </c>
      <c r="C329" s="3">
        <v>28</v>
      </c>
      <c r="D329" s="3">
        <v>27</v>
      </c>
      <c r="E329" s="3">
        <v>27</v>
      </c>
      <c r="F329" s="3">
        <v>0</v>
      </c>
      <c r="G329" s="3">
        <v>0</v>
      </c>
    </row>
    <row r="330" spans="1:7" x14ac:dyDescent="0.25">
      <c r="A330" t="s">
        <v>191</v>
      </c>
      <c r="B330" t="s">
        <v>27</v>
      </c>
      <c r="C330">
        <v>1</v>
      </c>
      <c r="D330">
        <v>0</v>
      </c>
      <c r="E330">
        <v>0</v>
      </c>
      <c r="F330">
        <v>0</v>
      </c>
      <c r="G330">
        <v>0</v>
      </c>
    </row>
    <row r="331" spans="1:7" x14ac:dyDescent="0.25">
      <c r="A331" s="3" t="s">
        <v>191</v>
      </c>
      <c r="B331" s="3" t="s">
        <v>27</v>
      </c>
      <c r="C331" s="3">
        <v>1</v>
      </c>
      <c r="D331" s="3">
        <v>0</v>
      </c>
      <c r="E331" s="3">
        <v>0</v>
      </c>
      <c r="F331" s="3">
        <v>0</v>
      </c>
      <c r="G331" s="3">
        <v>0</v>
      </c>
    </row>
    <row r="332" spans="1:7" x14ac:dyDescent="0.25">
      <c r="A332" t="s">
        <v>191</v>
      </c>
      <c r="B332" t="s">
        <v>4</v>
      </c>
      <c r="C332">
        <v>28</v>
      </c>
      <c r="D332">
        <v>0</v>
      </c>
      <c r="E332">
        <v>0</v>
      </c>
      <c r="F332">
        <v>0</v>
      </c>
      <c r="G332">
        <v>0</v>
      </c>
    </row>
    <row r="333" spans="1:7" x14ac:dyDescent="0.25">
      <c r="A333" s="3" t="s">
        <v>191</v>
      </c>
      <c r="B333" s="3" t="s">
        <v>4</v>
      </c>
      <c r="C333" s="3">
        <v>3</v>
      </c>
      <c r="D333" s="3">
        <v>0</v>
      </c>
      <c r="E333" s="3">
        <v>0</v>
      </c>
      <c r="F333" s="3">
        <v>0</v>
      </c>
      <c r="G333" s="3">
        <v>0</v>
      </c>
    </row>
    <row r="334" spans="1:7" x14ac:dyDescent="0.25">
      <c r="A334" t="s">
        <v>191</v>
      </c>
      <c r="B334" t="s">
        <v>5</v>
      </c>
      <c r="C334">
        <v>94</v>
      </c>
      <c r="D334">
        <v>90</v>
      </c>
      <c r="E334">
        <v>29</v>
      </c>
      <c r="F334">
        <v>61</v>
      </c>
      <c r="G334">
        <v>0</v>
      </c>
    </row>
    <row r="335" spans="1:7" x14ac:dyDescent="0.25">
      <c r="A335" s="3" t="s">
        <v>191</v>
      </c>
      <c r="B335" s="3" t="s">
        <v>5</v>
      </c>
      <c r="C335" s="3">
        <v>115</v>
      </c>
      <c r="D335" s="3">
        <v>113</v>
      </c>
      <c r="E335" s="3">
        <f>73+31</f>
        <v>104</v>
      </c>
      <c r="F335" s="3">
        <f>41-41+9</f>
        <v>9</v>
      </c>
      <c r="G335" s="3">
        <v>0</v>
      </c>
    </row>
    <row r="336" spans="1:7" x14ac:dyDescent="0.25">
      <c r="A336" t="s">
        <v>191</v>
      </c>
      <c r="B336" t="s">
        <v>185</v>
      </c>
      <c r="C336">
        <f>140+17</f>
        <v>157</v>
      </c>
      <c r="D336">
        <v>149</v>
      </c>
      <c r="E336">
        <f>50+62</f>
        <v>112</v>
      </c>
      <c r="F336">
        <f>103-82+16</f>
        <v>37</v>
      </c>
      <c r="G336">
        <v>1</v>
      </c>
    </row>
    <row r="337" spans="1:7" x14ac:dyDescent="0.25">
      <c r="A337" s="3" t="s">
        <v>191</v>
      </c>
      <c r="B337" s="3" t="s">
        <v>185</v>
      </c>
      <c r="C337" s="3">
        <v>145</v>
      </c>
      <c r="D337" s="3">
        <v>140</v>
      </c>
      <c r="E337" s="3">
        <v>89</v>
      </c>
      <c r="F337" s="3">
        <v>51</v>
      </c>
      <c r="G337" s="3">
        <v>1</v>
      </c>
    </row>
    <row r="338" spans="1:7" x14ac:dyDescent="0.25">
      <c r="A338" t="s">
        <v>191</v>
      </c>
      <c r="B338" t="s">
        <v>186</v>
      </c>
      <c r="C338">
        <f>249+26</f>
        <v>275</v>
      </c>
      <c r="D338">
        <v>264</v>
      </c>
      <c r="E338">
        <f>123+84</f>
        <v>207</v>
      </c>
      <c r="F338">
        <f>145-118+30</f>
        <v>57</v>
      </c>
      <c r="G338">
        <f>2+1</f>
        <v>3</v>
      </c>
    </row>
    <row r="339" spans="1:7" x14ac:dyDescent="0.25">
      <c r="A339" s="3" t="s">
        <v>191</v>
      </c>
      <c r="B339" s="3" t="s">
        <v>186</v>
      </c>
      <c r="C339" s="3">
        <v>217</v>
      </c>
      <c r="D339" s="3">
        <v>203</v>
      </c>
      <c r="E339" s="3">
        <v>165</v>
      </c>
      <c r="F339" s="3">
        <v>38</v>
      </c>
      <c r="G339" s="3">
        <v>3</v>
      </c>
    </row>
    <row r="340" spans="1:7" x14ac:dyDescent="0.25">
      <c r="A340" t="s">
        <v>191</v>
      </c>
      <c r="B340" t="s">
        <v>189</v>
      </c>
      <c r="C340">
        <v>6</v>
      </c>
      <c r="D340">
        <v>6</v>
      </c>
      <c r="E340">
        <v>3</v>
      </c>
      <c r="F340">
        <v>3</v>
      </c>
      <c r="G340">
        <v>0</v>
      </c>
    </row>
    <row r="341" spans="1:7" x14ac:dyDescent="0.25">
      <c r="A341" s="3" t="s">
        <v>191</v>
      </c>
      <c r="B341" s="3" t="s">
        <v>189</v>
      </c>
      <c r="C341" s="3">
        <v>1</v>
      </c>
      <c r="D341" s="3">
        <v>1</v>
      </c>
      <c r="E341" s="3">
        <v>1</v>
      </c>
      <c r="F341" s="3">
        <v>0</v>
      </c>
      <c r="G341" s="3">
        <v>0</v>
      </c>
    </row>
    <row r="342" spans="1:7" x14ac:dyDescent="0.25">
      <c r="A342" t="s">
        <v>191</v>
      </c>
      <c r="B342" t="s">
        <v>187</v>
      </c>
      <c r="C342">
        <f>302+3</f>
        <v>305</v>
      </c>
      <c r="D342">
        <v>300</v>
      </c>
      <c r="E342">
        <f>88+74</f>
        <v>162</v>
      </c>
      <c r="F342">
        <f>213-118+43</f>
        <v>138</v>
      </c>
      <c r="G342">
        <f>2+1</f>
        <v>3</v>
      </c>
    </row>
    <row r="343" spans="1:7" x14ac:dyDescent="0.25">
      <c r="A343" s="3" t="s">
        <v>191</v>
      </c>
      <c r="B343" s="3" t="s">
        <v>187</v>
      </c>
      <c r="C343" s="3">
        <v>181</v>
      </c>
      <c r="D343" s="3">
        <v>175</v>
      </c>
      <c r="E343" s="3">
        <v>91</v>
      </c>
      <c r="F343" s="3">
        <v>84</v>
      </c>
      <c r="G343" s="3">
        <v>0</v>
      </c>
    </row>
    <row r="344" spans="1:7" x14ac:dyDescent="0.25">
      <c r="A344" t="s">
        <v>191</v>
      </c>
      <c r="B344" t="s">
        <v>6</v>
      </c>
      <c r="C344">
        <v>155</v>
      </c>
      <c r="D344">
        <v>152</v>
      </c>
      <c r="E344">
        <v>147</v>
      </c>
      <c r="F344">
        <v>5</v>
      </c>
      <c r="G344">
        <v>0</v>
      </c>
    </row>
    <row r="345" spans="1:7" x14ac:dyDescent="0.25">
      <c r="A345" s="3" t="s">
        <v>191</v>
      </c>
      <c r="B345" s="3" t="s">
        <v>6</v>
      </c>
      <c r="C345" s="3">
        <v>111</v>
      </c>
      <c r="D345" s="3">
        <v>108</v>
      </c>
      <c r="E345" s="3">
        <v>104</v>
      </c>
      <c r="F345" s="3">
        <v>4</v>
      </c>
      <c r="G345" s="3">
        <v>0</v>
      </c>
    </row>
    <row r="346" spans="1:7" x14ac:dyDescent="0.25">
      <c r="A346" t="s">
        <v>191</v>
      </c>
      <c r="B346" t="s">
        <v>7</v>
      </c>
      <c r="C346">
        <v>39</v>
      </c>
      <c r="D346">
        <v>34</v>
      </c>
      <c r="E346">
        <v>31</v>
      </c>
      <c r="F346">
        <v>3</v>
      </c>
      <c r="G346">
        <v>0</v>
      </c>
    </row>
    <row r="347" spans="1:7" x14ac:dyDescent="0.25">
      <c r="A347" s="3" t="s">
        <v>191</v>
      </c>
      <c r="B347" s="3" t="s">
        <v>7</v>
      </c>
      <c r="C347" s="3">
        <v>9</v>
      </c>
      <c r="D347" s="3">
        <v>9</v>
      </c>
      <c r="E347" s="3">
        <v>6</v>
      </c>
      <c r="F347" s="3">
        <v>3</v>
      </c>
      <c r="G347" s="3">
        <v>0</v>
      </c>
    </row>
    <row r="348" spans="1:7" x14ac:dyDescent="0.25">
      <c r="A348" t="s">
        <v>191</v>
      </c>
      <c r="B348" t="s">
        <v>8</v>
      </c>
      <c r="C348">
        <v>80</v>
      </c>
      <c r="D348">
        <v>79</v>
      </c>
      <c r="E348">
        <v>55</v>
      </c>
      <c r="F348">
        <v>24</v>
      </c>
      <c r="G348">
        <v>0</v>
      </c>
    </row>
    <row r="349" spans="1:7" x14ac:dyDescent="0.25">
      <c r="A349" s="3" t="s">
        <v>191</v>
      </c>
      <c r="B349" s="3" t="s">
        <v>8</v>
      </c>
      <c r="C349" s="3">
        <v>85</v>
      </c>
      <c r="D349" s="3">
        <v>79</v>
      </c>
      <c r="E349" s="3">
        <v>46</v>
      </c>
      <c r="F349" s="3">
        <v>33</v>
      </c>
      <c r="G349" s="3">
        <v>3</v>
      </c>
    </row>
    <row r="350" spans="1:7" x14ac:dyDescent="0.25">
      <c r="A350" t="s">
        <v>191</v>
      </c>
      <c r="B350" t="s">
        <v>9</v>
      </c>
      <c r="C350">
        <v>47</v>
      </c>
      <c r="D350">
        <v>47</v>
      </c>
      <c r="E350">
        <v>42</v>
      </c>
      <c r="F350">
        <v>5</v>
      </c>
      <c r="G350">
        <v>0</v>
      </c>
    </row>
    <row r="351" spans="1:7" x14ac:dyDescent="0.25">
      <c r="A351" s="3" t="s">
        <v>191</v>
      </c>
      <c r="B351" s="3" t="s">
        <v>9</v>
      </c>
      <c r="C351" s="3">
        <v>19</v>
      </c>
      <c r="D351" s="3">
        <v>19</v>
      </c>
      <c r="E351" s="3">
        <v>17</v>
      </c>
      <c r="F351" s="3">
        <v>2</v>
      </c>
      <c r="G351" s="3">
        <v>0</v>
      </c>
    </row>
    <row r="352" spans="1:7" x14ac:dyDescent="0.25">
      <c r="A352" t="s">
        <v>191</v>
      </c>
      <c r="B352" t="s">
        <v>10</v>
      </c>
      <c r="C352">
        <v>240</v>
      </c>
      <c r="D352">
        <v>239</v>
      </c>
      <c r="E352">
        <v>220</v>
      </c>
      <c r="F352">
        <v>19</v>
      </c>
      <c r="G352">
        <v>1</v>
      </c>
    </row>
    <row r="353" spans="1:7" x14ac:dyDescent="0.25">
      <c r="A353" s="3" t="s">
        <v>191</v>
      </c>
      <c r="B353" s="3" t="s">
        <v>10</v>
      </c>
      <c r="C353" s="3">
        <v>188</v>
      </c>
      <c r="D353" s="3">
        <v>186</v>
      </c>
      <c r="E353" s="3">
        <v>151</v>
      </c>
      <c r="F353" s="3">
        <v>35</v>
      </c>
      <c r="G353" s="3">
        <v>0</v>
      </c>
    </row>
    <row r="354" spans="1:7" x14ac:dyDescent="0.25">
      <c r="A354" t="s">
        <v>191</v>
      </c>
      <c r="B354" t="s">
        <v>177</v>
      </c>
      <c r="C354">
        <v>66</v>
      </c>
      <c r="D354">
        <v>65</v>
      </c>
      <c r="E354">
        <v>63</v>
      </c>
      <c r="F354">
        <v>2</v>
      </c>
      <c r="G354">
        <v>0</v>
      </c>
    </row>
    <row r="355" spans="1:7" x14ac:dyDescent="0.25">
      <c r="A355" s="3" t="s">
        <v>191</v>
      </c>
      <c r="B355" s="3" t="s">
        <v>177</v>
      </c>
      <c r="C355" s="3">
        <v>67</v>
      </c>
      <c r="D355" s="3">
        <v>67</v>
      </c>
      <c r="E355" s="3">
        <v>66</v>
      </c>
      <c r="F355" s="3">
        <v>1</v>
      </c>
      <c r="G355" s="3">
        <v>0</v>
      </c>
    </row>
    <row r="356" spans="1:7" x14ac:dyDescent="0.25">
      <c r="A356" t="s">
        <v>153</v>
      </c>
      <c r="B356" t="s">
        <v>2</v>
      </c>
      <c r="C356">
        <v>3</v>
      </c>
      <c r="D356">
        <v>3</v>
      </c>
      <c r="E356">
        <v>2</v>
      </c>
      <c r="F356">
        <v>1</v>
      </c>
      <c r="G356">
        <v>0</v>
      </c>
    </row>
    <row r="357" spans="1:7" x14ac:dyDescent="0.25">
      <c r="A357" t="s">
        <v>153</v>
      </c>
      <c r="B357" t="s">
        <v>4</v>
      </c>
      <c r="C357">
        <v>30</v>
      </c>
      <c r="D357">
        <v>0</v>
      </c>
      <c r="E357">
        <v>0</v>
      </c>
      <c r="F357">
        <v>0</v>
      </c>
      <c r="G357">
        <v>0</v>
      </c>
    </row>
    <row r="358" spans="1:7" x14ac:dyDescent="0.25">
      <c r="A358" s="3" t="s">
        <v>153</v>
      </c>
      <c r="B358" s="3" t="s">
        <v>4</v>
      </c>
      <c r="C358" s="3">
        <v>1</v>
      </c>
      <c r="D358" s="3">
        <v>0</v>
      </c>
      <c r="E358" s="3">
        <v>0</v>
      </c>
      <c r="F358" s="3">
        <v>0</v>
      </c>
      <c r="G358" s="3">
        <v>0</v>
      </c>
    </row>
    <row r="359" spans="1:7" x14ac:dyDescent="0.25">
      <c r="A359" t="s">
        <v>153</v>
      </c>
      <c r="B359" t="s">
        <v>5</v>
      </c>
      <c r="C359">
        <v>18</v>
      </c>
      <c r="D359">
        <v>18</v>
      </c>
      <c r="E359">
        <f>0+4</f>
        <v>4</v>
      </c>
      <c r="F359">
        <f>18-6+2</f>
        <v>14</v>
      </c>
      <c r="G359">
        <v>0</v>
      </c>
    </row>
    <row r="360" spans="1:7" x14ac:dyDescent="0.25">
      <c r="A360" s="3" t="s">
        <v>153</v>
      </c>
      <c r="B360" s="3" t="s">
        <v>5</v>
      </c>
      <c r="C360" s="3">
        <v>3</v>
      </c>
      <c r="D360" s="3">
        <v>3</v>
      </c>
      <c r="E360" s="3">
        <v>1</v>
      </c>
      <c r="F360" s="3">
        <v>2</v>
      </c>
      <c r="G360" s="3">
        <v>0</v>
      </c>
    </row>
    <row r="361" spans="1:7" x14ac:dyDescent="0.25">
      <c r="A361" t="s">
        <v>153</v>
      </c>
      <c r="B361" t="s">
        <v>185</v>
      </c>
      <c r="C361">
        <f>92+13</f>
        <v>105</v>
      </c>
      <c r="D361">
        <v>101</v>
      </c>
      <c r="E361">
        <f>51+35</f>
        <v>86</v>
      </c>
      <c r="F361">
        <f>52-46+9</f>
        <v>15</v>
      </c>
      <c r="G361">
        <f>2+2</f>
        <v>4</v>
      </c>
    </row>
    <row r="362" spans="1:7" x14ac:dyDescent="0.25">
      <c r="A362" s="3" t="s">
        <v>153</v>
      </c>
      <c r="B362" s="3" t="s">
        <v>185</v>
      </c>
      <c r="C362" s="3">
        <v>62</v>
      </c>
      <c r="D362" s="3">
        <v>60</v>
      </c>
      <c r="E362" s="3">
        <v>38</v>
      </c>
      <c r="F362" s="3">
        <v>22</v>
      </c>
      <c r="G362" s="3">
        <v>1</v>
      </c>
    </row>
    <row r="363" spans="1:7" x14ac:dyDescent="0.25">
      <c r="A363" t="s">
        <v>153</v>
      </c>
      <c r="B363" t="s">
        <v>186</v>
      </c>
      <c r="C363">
        <f>190+6</f>
        <v>196</v>
      </c>
      <c r="D363">
        <v>186</v>
      </c>
      <c r="E363">
        <f>91+46</f>
        <v>137</v>
      </c>
      <c r="F363">
        <f>97-70+22</f>
        <v>49</v>
      </c>
      <c r="G363">
        <v>3</v>
      </c>
    </row>
    <row r="364" spans="1:7" x14ac:dyDescent="0.25">
      <c r="A364" s="3" t="s">
        <v>153</v>
      </c>
      <c r="B364" s="3" t="s">
        <v>186</v>
      </c>
      <c r="C364" s="3">
        <v>145</v>
      </c>
      <c r="D364" s="3">
        <v>128</v>
      </c>
      <c r="E364" s="3">
        <v>90</v>
      </c>
      <c r="F364" s="3">
        <v>38</v>
      </c>
      <c r="G364" s="3">
        <v>5</v>
      </c>
    </row>
    <row r="365" spans="1:7" x14ac:dyDescent="0.25">
      <c r="A365" t="s">
        <v>153</v>
      </c>
      <c r="B365" t="s">
        <v>187</v>
      </c>
      <c r="C365">
        <v>134</v>
      </c>
      <c r="D365">
        <v>133</v>
      </c>
      <c r="E365">
        <v>109</v>
      </c>
      <c r="F365">
        <v>24</v>
      </c>
      <c r="G365">
        <v>1</v>
      </c>
    </row>
    <row r="366" spans="1:7" x14ac:dyDescent="0.25">
      <c r="A366" s="3" t="s">
        <v>153</v>
      </c>
      <c r="B366" s="3" t="s">
        <v>187</v>
      </c>
      <c r="C366" s="3">
        <v>30</v>
      </c>
      <c r="D366" s="3">
        <v>29</v>
      </c>
      <c r="E366" s="3">
        <f>15+10</f>
        <v>25</v>
      </c>
      <c r="F366" s="3">
        <f>14-13+3</f>
        <v>4</v>
      </c>
      <c r="G366" s="3">
        <v>0</v>
      </c>
    </row>
    <row r="367" spans="1:7" x14ac:dyDescent="0.25">
      <c r="A367" t="s">
        <v>153</v>
      </c>
      <c r="B367" t="s">
        <v>6</v>
      </c>
      <c r="C367">
        <v>80</v>
      </c>
      <c r="D367">
        <v>79</v>
      </c>
      <c r="E367">
        <v>64</v>
      </c>
      <c r="F367">
        <v>15</v>
      </c>
      <c r="G367">
        <v>1</v>
      </c>
    </row>
    <row r="368" spans="1:7" x14ac:dyDescent="0.25">
      <c r="A368" s="3" t="s">
        <v>153</v>
      </c>
      <c r="B368" s="3" t="s">
        <v>6</v>
      </c>
      <c r="C368" s="3">
        <v>46</v>
      </c>
      <c r="D368" s="3">
        <v>46</v>
      </c>
      <c r="E368" s="3">
        <v>46</v>
      </c>
      <c r="F368" s="3">
        <v>0</v>
      </c>
      <c r="G368" s="3">
        <v>0</v>
      </c>
    </row>
    <row r="369" spans="1:7" x14ac:dyDescent="0.25">
      <c r="A369" t="s">
        <v>153</v>
      </c>
      <c r="B369" t="s">
        <v>8</v>
      </c>
      <c r="C369">
        <v>47</v>
      </c>
      <c r="D369">
        <v>46</v>
      </c>
      <c r="E369">
        <v>33</v>
      </c>
      <c r="F369">
        <v>13</v>
      </c>
      <c r="G369">
        <v>1</v>
      </c>
    </row>
    <row r="370" spans="1:7" x14ac:dyDescent="0.25">
      <c r="A370" s="3" t="s">
        <v>153</v>
      </c>
      <c r="B370" s="3" t="s">
        <v>8</v>
      </c>
      <c r="C370" s="3">
        <v>37</v>
      </c>
      <c r="D370" s="3">
        <v>35</v>
      </c>
      <c r="E370" s="3">
        <v>18</v>
      </c>
      <c r="F370" s="3">
        <v>17</v>
      </c>
      <c r="G370" s="3">
        <v>0</v>
      </c>
    </row>
    <row r="371" spans="1:7" x14ac:dyDescent="0.25">
      <c r="A371" t="s">
        <v>153</v>
      </c>
      <c r="B371" t="s">
        <v>9</v>
      </c>
      <c r="C371">
        <v>22</v>
      </c>
      <c r="D371">
        <v>22</v>
      </c>
      <c r="E371">
        <v>18</v>
      </c>
      <c r="F371">
        <v>4</v>
      </c>
      <c r="G371">
        <v>0</v>
      </c>
    </row>
    <row r="372" spans="1:7" x14ac:dyDescent="0.25">
      <c r="A372" s="3" t="s">
        <v>153</v>
      </c>
      <c r="B372" s="3" t="s">
        <v>9</v>
      </c>
      <c r="C372" s="3">
        <v>10</v>
      </c>
      <c r="D372" s="3">
        <v>10</v>
      </c>
      <c r="E372" s="3">
        <v>9</v>
      </c>
      <c r="F372" s="3">
        <v>1</v>
      </c>
      <c r="G372" s="3">
        <v>0</v>
      </c>
    </row>
    <row r="373" spans="1:7" x14ac:dyDescent="0.25">
      <c r="A373" t="s">
        <v>153</v>
      </c>
      <c r="B373" t="s">
        <v>10</v>
      </c>
      <c r="C373">
        <v>72</v>
      </c>
      <c r="D373">
        <v>72</v>
      </c>
      <c r="E373">
        <v>64</v>
      </c>
      <c r="F373">
        <v>8</v>
      </c>
      <c r="G373">
        <v>0</v>
      </c>
    </row>
    <row r="374" spans="1:7" x14ac:dyDescent="0.25">
      <c r="A374" s="3" t="s">
        <v>153</v>
      </c>
      <c r="B374" s="3" t="s">
        <v>10</v>
      </c>
      <c r="C374" s="3">
        <v>43</v>
      </c>
      <c r="D374" s="3">
        <v>43</v>
      </c>
      <c r="E374" s="3">
        <v>38</v>
      </c>
      <c r="F374" s="3">
        <v>5</v>
      </c>
      <c r="G374" s="3">
        <v>0</v>
      </c>
    </row>
    <row r="375" spans="1:7" x14ac:dyDescent="0.25">
      <c r="A375" t="s">
        <v>153</v>
      </c>
      <c r="B375" t="s">
        <v>177</v>
      </c>
      <c r="C375">
        <v>4</v>
      </c>
      <c r="D375">
        <v>4</v>
      </c>
      <c r="E375">
        <v>4</v>
      </c>
      <c r="F375">
        <v>0</v>
      </c>
      <c r="G375">
        <v>0</v>
      </c>
    </row>
    <row r="376" spans="1:7" x14ac:dyDescent="0.25">
      <c r="A376" s="3" t="s">
        <v>153</v>
      </c>
      <c r="B376" s="3" t="s">
        <v>177</v>
      </c>
      <c r="C376" s="3">
        <v>1</v>
      </c>
      <c r="D376" s="3">
        <v>1</v>
      </c>
      <c r="E376" s="3">
        <v>1</v>
      </c>
      <c r="F376" s="3">
        <v>0</v>
      </c>
      <c r="G376" s="3">
        <v>0</v>
      </c>
    </row>
    <row r="377" spans="1:7" x14ac:dyDescent="0.25">
      <c r="A377" t="s">
        <v>98</v>
      </c>
      <c r="B377" t="s">
        <v>1</v>
      </c>
      <c r="C377">
        <v>1</v>
      </c>
      <c r="D377">
        <v>1</v>
      </c>
      <c r="E377">
        <v>0</v>
      </c>
      <c r="F377">
        <v>1</v>
      </c>
      <c r="G377">
        <v>0</v>
      </c>
    </row>
    <row r="378" spans="1:7" x14ac:dyDescent="0.25">
      <c r="A378" s="3" t="s">
        <v>98</v>
      </c>
      <c r="B378" s="3" t="s">
        <v>1</v>
      </c>
      <c r="C378" s="3">
        <v>2</v>
      </c>
      <c r="D378" s="3">
        <v>2</v>
      </c>
      <c r="E378" s="3">
        <v>1</v>
      </c>
      <c r="F378" s="3">
        <v>1</v>
      </c>
      <c r="G378" s="3">
        <v>0</v>
      </c>
    </row>
    <row r="379" spans="1:7" x14ac:dyDescent="0.25">
      <c r="A379" t="s">
        <v>98</v>
      </c>
      <c r="B379" t="s">
        <v>2</v>
      </c>
      <c r="C379">
        <v>124</v>
      </c>
      <c r="D379">
        <v>91</v>
      </c>
      <c r="E379">
        <f>65+7</f>
        <v>72</v>
      </c>
      <c r="F379">
        <f>29-11+1</f>
        <v>19</v>
      </c>
      <c r="G379">
        <v>0</v>
      </c>
    </row>
    <row r="380" spans="1:7" x14ac:dyDescent="0.25">
      <c r="A380" s="3" t="s">
        <v>98</v>
      </c>
      <c r="B380" s="3" t="s">
        <v>2</v>
      </c>
      <c r="C380" s="3">
        <v>62</v>
      </c>
      <c r="D380" s="3">
        <v>51</v>
      </c>
      <c r="E380" s="3">
        <v>45</v>
      </c>
      <c r="F380" s="3">
        <v>6</v>
      </c>
      <c r="G380" s="3">
        <v>0</v>
      </c>
    </row>
    <row r="381" spans="1:7" x14ac:dyDescent="0.25">
      <c r="A381" s="3" t="s">
        <v>98</v>
      </c>
      <c r="B381" s="3" t="s">
        <v>97</v>
      </c>
      <c r="C381" s="3">
        <v>2</v>
      </c>
      <c r="D381" s="3">
        <v>0</v>
      </c>
      <c r="E381" s="3">
        <v>0</v>
      </c>
      <c r="F381" s="3">
        <v>0</v>
      </c>
      <c r="G381" s="3">
        <v>0</v>
      </c>
    </row>
    <row r="382" spans="1:7" x14ac:dyDescent="0.25">
      <c r="A382" t="s">
        <v>98</v>
      </c>
      <c r="B382" t="s">
        <v>27</v>
      </c>
      <c r="C382">
        <v>1</v>
      </c>
      <c r="D382">
        <v>0</v>
      </c>
      <c r="E382">
        <v>0</v>
      </c>
      <c r="F382">
        <v>0</v>
      </c>
      <c r="G382">
        <v>0</v>
      </c>
    </row>
    <row r="383" spans="1:7" x14ac:dyDescent="0.25">
      <c r="A383" t="s">
        <v>98</v>
      </c>
      <c r="B383" t="s">
        <v>4</v>
      </c>
      <c r="C383">
        <v>26</v>
      </c>
      <c r="D383">
        <v>0</v>
      </c>
      <c r="E383">
        <v>0</v>
      </c>
      <c r="F383">
        <v>0</v>
      </c>
      <c r="G383">
        <v>0</v>
      </c>
    </row>
    <row r="384" spans="1:7" x14ac:dyDescent="0.25">
      <c r="A384" s="3" t="s">
        <v>98</v>
      </c>
      <c r="B384" s="3" t="s">
        <v>4</v>
      </c>
      <c r="C384" s="3">
        <v>1</v>
      </c>
      <c r="D384" s="3">
        <v>0</v>
      </c>
      <c r="E384" s="3">
        <v>0</v>
      </c>
      <c r="F384" s="3">
        <v>0</v>
      </c>
      <c r="G384" s="3">
        <v>0</v>
      </c>
    </row>
    <row r="385" spans="1:7" x14ac:dyDescent="0.25">
      <c r="A385" t="s">
        <v>98</v>
      </c>
      <c r="B385" t="s">
        <v>5</v>
      </c>
      <c r="C385">
        <v>379</v>
      </c>
      <c r="D385">
        <v>345</v>
      </c>
      <c r="E385">
        <f>200+97</f>
        <v>297</v>
      </c>
      <c r="F385">
        <f>150-125+23</f>
        <v>48</v>
      </c>
      <c r="G385">
        <f>1+1</f>
        <v>2</v>
      </c>
    </row>
    <row r="386" spans="1:7" x14ac:dyDescent="0.25">
      <c r="A386" s="3" t="s">
        <v>98</v>
      </c>
      <c r="B386" s="3" t="s">
        <v>5</v>
      </c>
      <c r="C386" s="3">
        <v>271</v>
      </c>
      <c r="D386" s="3">
        <v>207</v>
      </c>
      <c r="E386" s="3">
        <v>139</v>
      </c>
      <c r="F386" s="3">
        <v>68</v>
      </c>
      <c r="G386" s="3">
        <v>2</v>
      </c>
    </row>
    <row r="387" spans="1:7" x14ac:dyDescent="0.25">
      <c r="A387" t="s">
        <v>98</v>
      </c>
      <c r="B387" t="s">
        <v>185</v>
      </c>
      <c r="C387">
        <f>519+119</f>
        <v>638</v>
      </c>
      <c r="D387">
        <v>551</v>
      </c>
      <c r="E387">
        <f>428+76</f>
        <v>504</v>
      </c>
      <c r="F387">
        <f>140-113+20</f>
        <v>47</v>
      </c>
      <c r="G387">
        <v>1</v>
      </c>
    </row>
    <row r="388" spans="1:7" x14ac:dyDescent="0.25">
      <c r="A388" s="3" t="s">
        <v>98</v>
      </c>
      <c r="B388" s="3" t="s">
        <v>185</v>
      </c>
      <c r="C388" s="3">
        <v>429</v>
      </c>
      <c r="D388" s="3">
        <v>369</v>
      </c>
      <c r="E388" s="3">
        <v>291</v>
      </c>
      <c r="F388" s="3">
        <v>78</v>
      </c>
      <c r="G388" s="3">
        <v>0</v>
      </c>
    </row>
    <row r="389" spans="1:7" x14ac:dyDescent="0.25">
      <c r="A389" t="s">
        <v>98</v>
      </c>
      <c r="B389" t="s">
        <v>186</v>
      </c>
      <c r="C389">
        <f>871+69</f>
        <v>940</v>
      </c>
      <c r="D389">
        <v>842</v>
      </c>
      <c r="E389">
        <f>534+230</f>
        <v>764</v>
      </c>
      <c r="F389">
        <f>332-290+36</f>
        <v>78</v>
      </c>
      <c r="G389">
        <f>1+2</f>
        <v>3</v>
      </c>
    </row>
    <row r="390" spans="1:7" x14ac:dyDescent="0.25">
      <c r="A390" s="3" t="s">
        <v>98</v>
      </c>
      <c r="B390" s="3" t="s">
        <v>186</v>
      </c>
      <c r="C390" s="3">
        <v>664</v>
      </c>
      <c r="D390" s="3">
        <v>562</v>
      </c>
      <c r="E390" s="3">
        <v>445</v>
      </c>
      <c r="F390" s="3">
        <v>117</v>
      </c>
      <c r="G390" s="3">
        <v>3</v>
      </c>
    </row>
    <row r="391" spans="1:7" x14ac:dyDescent="0.25">
      <c r="A391" t="s">
        <v>98</v>
      </c>
      <c r="B391" t="s">
        <v>189</v>
      </c>
      <c r="C391">
        <v>20</v>
      </c>
      <c r="D391">
        <v>20</v>
      </c>
      <c r="E391">
        <v>6</v>
      </c>
      <c r="F391">
        <v>14</v>
      </c>
      <c r="G391">
        <v>0</v>
      </c>
    </row>
    <row r="392" spans="1:7" x14ac:dyDescent="0.25">
      <c r="A392" s="3" t="s">
        <v>98</v>
      </c>
      <c r="B392" s="3" t="s">
        <v>189</v>
      </c>
      <c r="C392" s="3">
        <v>3</v>
      </c>
      <c r="D392" s="3">
        <v>2</v>
      </c>
      <c r="E392" s="3">
        <v>1</v>
      </c>
      <c r="F392" s="3">
        <v>1</v>
      </c>
      <c r="G392" s="3">
        <v>0</v>
      </c>
    </row>
    <row r="393" spans="1:7" x14ac:dyDescent="0.25">
      <c r="A393" t="s">
        <v>98</v>
      </c>
      <c r="B393" t="s">
        <v>187</v>
      </c>
      <c r="C393">
        <f>1034+9</f>
        <v>1043</v>
      </c>
      <c r="D393">
        <v>950</v>
      </c>
      <c r="E393">
        <f>604+148</f>
        <v>752</v>
      </c>
      <c r="F393">
        <f>364-203+37</f>
        <v>198</v>
      </c>
      <c r="G393">
        <v>0</v>
      </c>
    </row>
    <row r="394" spans="1:7" x14ac:dyDescent="0.25">
      <c r="A394" s="3" t="s">
        <v>98</v>
      </c>
      <c r="B394" s="3" t="s">
        <v>187</v>
      </c>
      <c r="C394" s="3">
        <v>778</v>
      </c>
      <c r="D394" s="3">
        <v>694</v>
      </c>
      <c r="E394" s="3">
        <v>526</v>
      </c>
      <c r="F394" s="3">
        <v>168</v>
      </c>
      <c r="G394" s="3">
        <v>0</v>
      </c>
    </row>
    <row r="395" spans="1:7" x14ac:dyDescent="0.25">
      <c r="A395" t="s">
        <v>98</v>
      </c>
      <c r="B395" t="s">
        <v>6</v>
      </c>
      <c r="C395">
        <v>303</v>
      </c>
      <c r="D395">
        <v>292</v>
      </c>
      <c r="E395">
        <v>288</v>
      </c>
      <c r="F395">
        <v>4</v>
      </c>
      <c r="G395">
        <v>0</v>
      </c>
    </row>
    <row r="396" spans="1:7" x14ac:dyDescent="0.25">
      <c r="A396" s="3" t="s">
        <v>98</v>
      </c>
      <c r="B396" s="3" t="s">
        <v>6</v>
      </c>
      <c r="C396" s="3">
        <v>281</v>
      </c>
      <c r="D396" s="3">
        <v>259</v>
      </c>
      <c r="E396" s="3">
        <v>256</v>
      </c>
      <c r="F396" s="3">
        <v>3</v>
      </c>
      <c r="G396" s="3">
        <v>0</v>
      </c>
    </row>
    <row r="397" spans="1:7" x14ac:dyDescent="0.25">
      <c r="A397" t="s">
        <v>98</v>
      </c>
      <c r="B397" t="s">
        <v>7</v>
      </c>
      <c r="C397">
        <v>219</v>
      </c>
      <c r="D397">
        <v>199</v>
      </c>
      <c r="E397">
        <v>192</v>
      </c>
      <c r="F397">
        <v>7</v>
      </c>
      <c r="G397">
        <v>0</v>
      </c>
    </row>
    <row r="398" spans="1:7" x14ac:dyDescent="0.25">
      <c r="A398" s="3" t="s">
        <v>98</v>
      </c>
      <c r="B398" s="3" t="s">
        <v>7</v>
      </c>
      <c r="C398" s="3">
        <v>122</v>
      </c>
      <c r="D398" s="3">
        <v>110</v>
      </c>
      <c r="E398" s="3">
        <v>91</v>
      </c>
      <c r="F398" s="3">
        <v>19</v>
      </c>
      <c r="G398" s="3">
        <v>0</v>
      </c>
    </row>
    <row r="399" spans="1:7" x14ac:dyDescent="0.25">
      <c r="A399" t="s">
        <v>98</v>
      </c>
      <c r="B399" t="s">
        <v>8</v>
      </c>
      <c r="C399">
        <v>240</v>
      </c>
      <c r="D399">
        <v>230</v>
      </c>
      <c r="E399">
        <v>191</v>
      </c>
      <c r="F399">
        <v>39</v>
      </c>
      <c r="G399">
        <v>0</v>
      </c>
    </row>
    <row r="400" spans="1:7" x14ac:dyDescent="0.25">
      <c r="A400" s="3" t="s">
        <v>98</v>
      </c>
      <c r="B400" s="3" t="s">
        <v>8</v>
      </c>
      <c r="C400" s="3">
        <v>167</v>
      </c>
      <c r="D400" s="3">
        <v>151</v>
      </c>
      <c r="E400" s="3">
        <v>123</v>
      </c>
      <c r="F400" s="3">
        <v>28</v>
      </c>
      <c r="G400" s="3">
        <v>0</v>
      </c>
    </row>
    <row r="401" spans="1:7" x14ac:dyDescent="0.25">
      <c r="A401" t="s">
        <v>98</v>
      </c>
      <c r="B401" t="s">
        <v>9</v>
      </c>
      <c r="C401">
        <v>176</v>
      </c>
      <c r="D401">
        <v>170</v>
      </c>
      <c r="E401">
        <v>150</v>
      </c>
      <c r="F401">
        <v>20</v>
      </c>
      <c r="G401">
        <v>0</v>
      </c>
    </row>
    <row r="402" spans="1:7" x14ac:dyDescent="0.25">
      <c r="A402" s="3" t="s">
        <v>98</v>
      </c>
      <c r="B402" s="3" t="s">
        <v>9</v>
      </c>
      <c r="C402" s="3">
        <v>90</v>
      </c>
      <c r="D402" s="3">
        <v>86</v>
      </c>
      <c r="E402" s="3">
        <v>77</v>
      </c>
      <c r="F402" s="3">
        <v>9</v>
      </c>
      <c r="G402" s="3">
        <v>0</v>
      </c>
    </row>
    <row r="403" spans="1:7" x14ac:dyDescent="0.25">
      <c r="A403" t="s">
        <v>98</v>
      </c>
      <c r="B403" t="s">
        <v>10</v>
      </c>
      <c r="C403">
        <v>890</v>
      </c>
      <c r="D403">
        <v>888</v>
      </c>
      <c r="E403">
        <v>808</v>
      </c>
      <c r="F403">
        <v>80</v>
      </c>
      <c r="G403">
        <v>0</v>
      </c>
    </row>
    <row r="404" spans="1:7" x14ac:dyDescent="0.25">
      <c r="A404" s="3" t="s">
        <v>98</v>
      </c>
      <c r="B404" s="3" t="s">
        <v>10</v>
      </c>
      <c r="C404" s="3">
        <v>582</v>
      </c>
      <c r="D404" s="3">
        <v>569</v>
      </c>
      <c r="E404" s="3">
        <v>458</v>
      </c>
      <c r="F404" s="3">
        <v>111</v>
      </c>
      <c r="G404" s="3">
        <v>0</v>
      </c>
    </row>
    <row r="405" spans="1:7" x14ac:dyDescent="0.25">
      <c r="A405" t="s">
        <v>98</v>
      </c>
      <c r="B405" t="s">
        <v>177</v>
      </c>
      <c r="C405">
        <v>347</v>
      </c>
      <c r="D405">
        <v>340</v>
      </c>
      <c r="E405">
        <v>252</v>
      </c>
      <c r="F405">
        <v>88</v>
      </c>
      <c r="G405">
        <v>0</v>
      </c>
    </row>
    <row r="406" spans="1:7" x14ac:dyDescent="0.25">
      <c r="A406" s="3" t="s">
        <v>98</v>
      </c>
      <c r="B406" s="3" t="s">
        <v>177</v>
      </c>
      <c r="C406" s="3">
        <v>113</v>
      </c>
      <c r="D406" s="3">
        <v>103</v>
      </c>
      <c r="E406" s="3">
        <v>98</v>
      </c>
      <c r="F406" s="3">
        <v>5</v>
      </c>
      <c r="G406" s="3">
        <v>0</v>
      </c>
    </row>
    <row r="407" spans="1:7" x14ac:dyDescent="0.25">
      <c r="A407" t="s">
        <v>20</v>
      </c>
      <c r="B407" t="s">
        <v>2</v>
      </c>
      <c r="C407">
        <v>27</v>
      </c>
      <c r="D407">
        <v>18</v>
      </c>
      <c r="E407">
        <v>18</v>
      </c>
      <c r="F407">
        <v>0</v>
      </c>
      <c r="G407">
        <v>0</v>
      </c>
    </row>
    <row r="408" spans="1:7" x14ac:dyDescent="0.25">
      <c r="A408" s="3" t="s">
        <v>20</v>
      </c>
      <c r="B408" s="3" t="s">
        <v>2</v>
      </c>
      <c r="C408" s="3">
        <v>31</v>
      </c>
      <c r="D408" s="3">
        <v>29</v>
      </c>
      <c r="E408" s="3">
        <v>29</v>
      </c>
      <c r="F408" s="3">
        <v>0</v>
      </c>
      <c r="G408" s="3">
        <v>0</v>
      </c>
    </row>
    <row r="409" spans="1:7" x14ac:dyDescent="0.25">
      <c r="A409" t="s">
        <v>20</v>
      </c>
      <c r="B409" t="s">
        <v>4</v>
      </c>
      <c r="C409">
        <v>8</v>
      </c>
      <c r="D409">
        <v>0</v>
      </c>
      <c r="E409">
        <v>0</v>
      </c>
      <c r="F409">
        <v>0</v>
      </c>
      <c r="G409">
        <v>0</v>
      </c>
    </row>
    <row r="410" spans="1:7" x14ac:dyDescent="0.25">
      <c r="A410" t="s">
        <v>20</v>
      </c>
      <c r="B410" t="s">
        <v>5</v>
      </c>
      <c r="C410">
        <v>102</v>
      </c>
      <c r="D410">
        <v>97</v>
      </c>
      <c r="E410">
        <f>44+37</f>
        <v>81</v>
      </c>
      <c r="F410">
        <f>53-50+13</f>
        <v>16</v>
      </c>
      <c r="G410">
        <v>1</v>
      </c>
    </row>
    <row r="411" spans="1:7" x14ac:dyDescent="0.25">
      <c r="A411" s="3" t="s">
        <v>20</v>
      </c>
      <c r="B411" s="3" t="s">
        <v>5</v>
      </c>
      <c r="C411" s="3">
        <v>147</v>
      </c>
      <c r="D411" s="3">
        <v>140</v>
      </c>
      <c r="E411" s="3">
        <v>101</v>
      </c>
      <c r="F411" s="3">
        <v>39</v>
      </c>
      <c r="G411" s="3">
        <v>2</v>
      </c>
    </row>
    <row r="412" spans="1:7" x14ac:dyDescent="0.25">
      <c r="A412" t="s">
        <v>20</v>
      </c>
      <c r="B412" t="s">
        <v>185</v>
      </c>
      <c r="C412">
        <f>158+21</f>
        <v>179</v>
      </c>
      <c r="D412">
        <v>173</v>
      </c>
      <c r="E412">
        <f>78+46</f>
        <v>124</v>
      </c>
      <c r="F412">
        <f>99-81+31</f>
        <v>49</v>
      </c>
      <c r="G412">
        <v>1</v>
      </c>
    </row>
    <row r="413" spans="1:7" x14ac:dyDescent="0.25">
      <c r="A413" s="3" t="s">
        <v>20</v>
      </c>
      <c r="B413" s="3" t="s">
        <v>185</v>
      </c>
      <c r="C413" s="3">
        <v>173</v>
      </c>
      <c r="D413" s="3">
        <v>167</v>
      </c>
      <c r="E413" s="3">
        <v>106</v>
      </c>
      <c r="F413" s="3">
        <v>61</v>
      </c>
      <c r="G413" s="3">
        <v>0</v>
      </c>
    </row>
    <row r="414" spans="1:7" x14ac:dyDescent="0.25">
      <c r="A414" t="s">
        <v>20</v>
      </c>
      <c r="B414" t="s">
        <v>186</v>
      </c>
      <c r="C414">
        <f>304+13</f>
        <v>317</v>
      </c>
      <c r="D414">
        <v>303</v>
      </c>
      <c r="E414">
        <f>142+88</f>
        <v>230</v>
      </c>
      <c r="F414">
        <f>169-147+51</f>
        <v>73</v>
      </c>
      <c r="G414">
        <v>1</v>
      </c>
    </row>
    <row r="415" spans="1:7" x14ac:dyDescent="0.25">
      <c r="A415" s="3" t="s">
        <v>20</v>
      </c>
      <c r="B415" s="3" t="s">
        <v>186</v>
      </c>
      <c r="C415" s="3">
        <v>234</v>
      </c>
      <c r="D415" s="3">
        <v>222</v>
      </c>
      <c r="E415" s="3">
        <v>150</v>
      </c>
      <c r="F415" s="3">
        <v>72</v>
      </c>
      <c r="G415" s="3">
        <v>0</v>
      </c>
    </row>
    <row r="416" spans="1:7" x14ac:dyDescent="0.25">
      <c r="A416" t="s">
        <v>20</v>
      </c>
      <c r="B416" t="s">
        <v>189</v>
      </c>
      <c r="C416">
        <v>1</v>
      </c>
      <c r="D416">
        <v>1</v>
      </c>
      <c r="E416">
        <v>1</v>
      </c>
      <c r="F416">
        <v>0</v>
      </c>
      <c r="G416">
        <v>0</v>
      </c>
    </row>
    <row r="417" spans="1:7" x14ac:dyDescent="0.25">
      <c r="A417" t="s">
        <v>20</v>
      </c>
      <c r="B417" t="s">
        <v>187</v>
      </c>
      <c r="C417">
        <f>335+6</f>
        <v>341</v>
      </c>
      <c r="D417">
        <f>330+6</f>
        <v>336</v>
      </c>
      <c r="E417">
        <f>202+74</f>
        <v>276</v>
      </c>
      <c r="F417">
        <f>134-96+22</f>
        <v>60</v>
      </c>
      <c r="G417">
        <v>2</v>
      </c>
    </row>
    <row r="418" spans="1:7" x14ac:dyDescent="0.25">
      <c r="A418" s="3" t="s">
        <v>20</v>
      </c>
      <c r="B418" s="3" t="s">
        <v>187</v>
      </c>
      <c r="C418" s="3">
        <v>271</v>
      </c>
      <c r="D418" s="3">
        <v>262</v>
      </c>
      <c r="E418" s="3">
        <v>205</v>
      </c>
      <c r="F418" s="3">
        <v>57</v>
      </c>
      <c r="G418" s="3">
        <v>3</v>
      </c>
    </row>
    <row r="419" spans="1:7" x14ac:dyDescent="0.25">
      <c r="A419" t="s">
        <v>20</v>
      </c>
      <c r="B419" t="s">
        <v>6</v>
      </c>
      <c r="C419">
        <v>362</v>
      </c>
      <c r="D419">
        <v>360</v>
      </c>
      <c r="E419">
        <v>353</v>
      </c>
      <c r="F419">
        <v>7</v>
      </c>
      <c r="G419">
        <v>0</v>
      </c>
    </row>
    <row r="420" spans="1:7" x14ac:dyDescent="0.25">
      <c r="A420" s="3" t="s">
        <v>20</v>
      </c>
      <c r="B420" s="3" t="s">
        <v>6</v>
      </c>
      <c r="C420" s="3">
        <v>285</v>
      </c>
      <c r="D420" s="3">
        <v>275</v>
      </c>
      <c r="E420" s="3">
        <v>270</v>
      </c>
      <c r="F420" s="3">
        <v>5</v>
      </c>
      <c r="G420" s="3">
        <v>0</v>
      </c>
    </row>
    <row r="421" spans="1:7" x14ac:dyDescent="0.25">
      <c r="A421" t="s">
        <v>20</v>
      </c>
      <c r="B421" t="s">
        <v>7</v>
      </c>
      <c r="C421">
        <v>45</v>
      </c>
      <c r="D421">
        <v>43</v>
      </c>
      <c r="E421">
        <v>36</v>
      </c>
      <c r="F421">
        <v>7</v>
      </c>
      <c r="G421">
        <v>0</v>
      </c>
    </row>
    <row r="422" spans="1:7" x14ac:dyDescent="0.25">
      <c r="A422" s="3" t="s">
        <v>20</v>
      </c>
      <c r="B422" s="3" t="s">
        <v>7</v>
      </c>
      <c r="C422" s="3">
        <v>19</v>
      </c>
      <c r="D422" s="3">
        <v>19</v>
      </c>
      <c r="E422" s="3">
        <v>13</v>
      </c>
      <c r="F422" s="3">
        <v>6</v>
      </c>
      <c r="G422" s="3">
        <v>0</v>
      </c>
    </row>
    <row r="423" spans="1:7" x14ac:dyDescent="0.25">
      <c r="A423" t="s">
        <v>20</v>
      </c>
      <c r="B423" t="s">
        <v>8</v>
      </c>
      <c r="C423">
        <v>98</v>
      </c>
      <c r="D423">
        <v>95</v>
      </c>
      <c r="E423">
        <v>64</v>
      </c>
      <c r="F423">
        <v>31</v>
      </c>
      <c r="G423">
        <v>1</v>
      </c>
    </row>
    <row r="424" spans="1:7" x14ac:dyDescent="0.25">
      <c r="A424" s="3" t="s">
        <v>20</v>
      </c>
      <c r="B424" s="3" t="s">
        <v>8</v>
      </c>
      <c r="C424" s="3">
        <v>63</v>
      </c>
      <c r="D424" s="3">
        <v>61</v>
      </c>
      <c r="E424" s="3">
        <v>34</v>
      </c>
      <c r="F424" s="3">
        <v>27</v>
      </c>
      <c r="G424" s="3">
        <v>0</v>
      </c>
    </row>
    <row r="425" spans="1:7" x14ac:dyDescent="0.25">
      <c r="A425" t="s">
        <v>20</v>
      </c>
      <c r="B425" t="s">
        <v>9</v>
      </c>
      <c r="C425">
        <v>50</v>
      </c>
      <c r="D425">
        <v>50</v>
      </c>
      <c r="E425">
        <v>46</v>
      </c>
      <c r="F425">
        <v>4</v>
      </c>
      <c r="G425">
        <v>0</v>
      </c>
    </row>
    <row r="426" spans="1:7" x14ac:dyDescent="0.25">
      <c r="A426" s="3" t="s">
        <v>20</v>
      </c>
      <c r="B426" s="3" t="s">
        <v>9</v>
      </c>
      <c r="C426" s="3">
        <v>24</v>
      </c>
      <c r="D426" s="3">
        <v>23</v>
      </c>
      <c r="E426" s="3">
        <v>18</v>
      </c>
      <c r="F426" s="3">
        <v>5</v>
      </c>
      <c r="G426" s="3">
        <v>0</v>
      </c>
    </row>
    <row r="427" spans="1:7" x14ac:dyDescent="0.25">
      <c r="A427" t="s">
        <v>20</v>
      </c>
      <c r="B427" t="s">
        <v>10</v>
      </c>
      <c r="C427">
        <v>296</v>
      </c>
      <c r="D427">
        <v>295</v>
      </c>
      <c r="E427">
        <v>264</v>
      </c>
      <c r="F427">
        <v>31</v>
      </c>
      <c r="G427">
        <v>0</v>
      </c>
    </row>
    <row r="428" spans="1:7" x14ac:dyDescent="0.25">
      <c r="A428" s="3" t="s">
        <v>20</v>
      </c>
      <c r="B428" s="3" t="s">
        <v>10</v>
      </c>
      <c r="C428" s="3">
        <v>192</v>
      </c>
      <c r="D428" s="3">
        <v>192</v>
      </c>
      <c r="E428" s="3">
        <v>178</v>
      </c>
      <c r="F428" s="3">
        <v>14</v>
      </c>
      <c r="G428" s="3">
        <v>0</v>
      </c>
    </row>
    <row r="429" spans="1:7" x14ac:dyDescent="0.25">
      <c r="A429" t="s">
        <v>20</v>
      </c>
      <c r="B429" t="s">
        <v>177</v>
      </c>
      <c r="C429">
        <v>88</v>
      </c>
      <c r="D429">
        <v>88</v>
      </c>
      <c r="E429">
        <v>40</v>
      </c>
      <c r="F429">
        <v>48</v>
      </c>
      <c r="G429">
        <v>0</v>
      </c>
    </row>
    <row r="430" spans="1:7" x14ac:dyDescent="0.25">
      <c r="A430" s="3" t="s">
        <v>20</v>
      </c>
      <c r="B430" s="3" t="s">
        <v>177</v>
      </c>
      <c r="C430" s="3">
        <v>72</v>
      </c>
      <c r="D430" s="3">
        <v>66</v>
      </c>
      <c r="E430" s="3">
        <v>59</v>
      </c>
      <c r="F430" s="3">
        <v>7</v>
      </c>
      <c r="G430" s="3">
        <v>0</v>
      </c>
    </row>
    <row r="431" spans="1:7" x14ac:dyDescent="0.25">
      <c r="A431" t="s">
        <v>30</v>
      </c>
      <c r="B431" t="s">
        <v>2</v>
      </c>
      <c r="C431">
        <v>17</v>
      </c>
      <c r="D431">
        <v>14</v>
      </c>
      <c r="E431">
        <f>5+6</f>
        <v>11</v>
      </c>
      <c r="F431">
        <f>9-6+0</f>
        <v>3</v>
      </c>
      <c r="G431">
        <v>0</v>
      </c>
    </row>
    <row r="432" spans="1:7" x14ac:dyDescent="0.25">
      <c r="A432" s="3" t="s">
        <v>30</v>
      </c>
      <c r="B432" s="3" t="s">
        <v>2</v>
      </c>
      <c r="C432" s="3">
        <v>8</v>
      </c>
      <c r="D432" s="3">
        <v>7</v>
      </c>
      <c r="E432" s="3">
        <v>6</v>
      </c>
      <c r="F432" s="3">
        <v>1</v>
      </c>
      <c r="G432" s="3">
        <v>0</v>
      </c>
    </row>
    <row r="433" spans="1:7" x14ac:dyDescent="0.25">
      <c r="A433" t="s">
        <v>30</v>
      </c>
      <c r="B433" t="s">
        <v>4</v>
      </c>
      <c r="C433">
        <v>2</v>
      </c>
      <c r="D433">
        <v>0</v>
      </c>
      <c r="E433">
        <v>0</v>
      </c>
      <c r="F433">
        <v>0</v>
      </c>
      <c r="G433">
        <v>0</v>
      </c>
    </row>
    <row r="434" spans="1:7" x14ac:dyDescent="0.25">
      <c r="A434" t="s">
        <v>30</v>
      </c>
      <c r="B434" t="s">
        <v>5</v>
      </c>
      <c r="C434">
        <v>35</v>
      </c>
      <c r="D434">
        <v>35</v>
      </c>
      <c r="E434">
        <f>15+13</f>
        <v>28</v>
      </c>
      <c r="F434">
        <f>20-15+2</f>
        <v>7</v>
      </c>
      <c r="G434">
        <v>0</v>
      </c>
    </row>
    <row r="435" spans="1:7" x14ac:dyDescent="0.25">
      <c r="A435" s="3" t="s">
        <v>30</v>
      </c>
      <c r="B435" s="3" t="s">
        <v>5</v>
      </c>
      <c r="C435" s="3">
        <v>35</v>
      </c>
      <c r="D435" s="3">
        <v>33</v>
      </c>
      <c r="E435" s="3">
        <v>24</v>
      </c>
      <c r="F435" s="3">
        <v>9</v>
      </c>
      <c r="G435" s="3">
        <v>0</v>
      </c>
    </row>
    <row r="436" spans="1:7" x14ac:dyDescent="0.25">
      <c r="A436" t="s">
        <v>30</v>
      </c>
      <c r="B436" t="s">
        <v>185</v>
      </c>
      <c r="C436">
        <f>73+2</f>
        <v>75</v>
      </c>
      <c r="D436">
        <v>74</v>
      </c>
      <c r="E436">
        <f>38+19</f>
        <v>57</v>
      </c>
      <c r="F436">
        <f>37-28+8</f>
        <v>17</v>
      </c>
      <c r="G436">
        <v>0</v>
      </c>
    </row>
    <row r="437" spans="1:7" x14ac:dyDescent="0.25">
      <c r="A437" s="3" t="s">
        <v>30</v>
      </c>
      <c r="B437" s="3" t="s">
        <v>185</v>
      </c>
      <c r="C437" s="3">
        <v>65</v>
      </c>
      <c r="D437" s="3">
        <v>65</v>
      </c>
      <c r="E437" s="3">
        <v>44</v>
      </c>
      <c r="F437" s="3">
        <v>21</v>
      </c>
      <c r="G437" s="3">
        <v>0</v>
      </c>
    </row>
    <row r="438" spans="1:7" x14ac:dyDescent="0.25">
      <c r="A438" t="s">
        <v>30</v>
      </c>
      <c r="B438" t="s">
        <v>186</v>
      </c>
      <c r="C438">
        <f>104+7</f>
        <v>111</v>
      </c>
      <c r="D438">
        <v>109</v>
      </c>
      <c r="E438">
        <f>76+18</f>
        <v>94</v>
      </c>
      <c r="F438">
        <f>34-22+3</f>
        <v>15</v>
      </c>
      <c r="G438">
        <v>0</v>
      </c>
    </row>
    <row r="439" spans="1:7" x14ac:dyDescent="0.25">
      <c r="A439" s="3" t="s">
        <v>30</v>
      </c>
      <c r="B439" s="3" t="s">
        <v>186</v>
      </c>
      <c r="C439" s="3">
        <v>85</v>
      </c>
      <c r="D439" s="3">
        <v>79</v>
      </c>
      <c r="E439" s="3">
        <v>60</v>
      </c>
      <c r="F439" s="3">
        <v>19</v>
      </c>
      <c r="G439" s="3">
        <v>0</v>
      </c>
    </row>
    <row r="440" spans="1:7" x14ac:dyDescent="0.25">
      <c r="A440" t="s">
        <v>30</v>
      </c>
      <c r="B440" t="s">
        <v>187</v>
      </c>
      <c r="C440">
        <v>128</v>
      </c>
      <c r="D440">
        <v>126</v>
      </c>
      <c r="E440">
        <f>75+19</f>
        <v>94</v>
      </c>
      <c r="F440">
        <f>51-29+10</f>
        <v>32</v>
      </c>
      <c r="G440">
        <v>0</v>
      </c>
    </row>
    <row r="441" spans="1:7" x14ac:dyDescent="0.25">
      <c r="A441" s="3" t="s">
        <v>30</v>
      </c>
      <c r="B441" s="3" t="s">
        <v>187</v>
      </c>
      <c r="C441" s="3">
        <v>90</v>
      </c>
      <c r="D441" s="3">
        <v>88</v>
      </c>
      <c r="E441" s="3">
        <v>65</v>
      </c>
      <c r="F441" s="3">
        <v>23</v>
      </c>
      <c r="G441" s="3">
        <v>0</v>
      </c>
    </row>
    <row r="442" spans="1:7" x14ac:dyDescent="0.25">
      <c r="A442" t="s">
        <v>30</v>
      </c>
      <c r="B442" t="s">
        <v>6</v>
      </c>
      <c r="C442">
        <v>37</v>
      </c>
      <c r="D442">
        <v>37</v>
      </c>
      <c r="E442">
        <v>35</v>
      </c>
      <c r="F442">
        <v>2</v>
      </c>
      <c r="G442">
        <v>0</v>
      </c>
    </row>
    <row r="443" spans="1:7" x14ac:dyDescent="0.25">
      <c r="A443" s="3" t="s">
        <v>30</v>
      </c>
      <c r="B443" s="3" t="s">
        <v>6</v>
      </c>
      <c r="C443" s="3">
        <v>22</v>
      </c>
      <c r="D443" s="3">
        <v>21</v>
      </c>
      <c r="E443" s="3">
        <v>19</v>
      </c>
      <c r="F443" s="3">
        <v>2</v>
      </c>
      <c r="G443" s="3">
        <v>0</v>
      </c>
    </row>
    <row r="444" spans="1:7" x14ac:dyDescent="0.25">
      <c r="A444" t="s">
        <v>30</v>
      </c>
      <c r="B444" t="s">
        <v>7</v>
      </c>
      <c r="C444">
        <v>17</v>
      </c>
      <c r="D444">
        <v>13</v>
      </c>
      <c r="E444">
        <v>10</v>
      </c>
      <c r="F444">
        <v>3</v>
      </c>
      <c r="G444">
        <v>0</v>
      </c>
    </row>
    <row r="445" spans="1:7" x14ac:dyDescent="0.25">
      <c r="A445" s="3" t="s">
        <v>30</v>
      </c>
      <c r="B445" s="3" t="s">
        <v>7</v>
      </c>
      <c r="C445" s="3">
        <v>1</v>
      </c>
      <c r="D445" s="3">
        <v>1</v>
      </c>
      <c r="E445" s="3">
        <v>1</v>
      </c>
      <c r="F445" s="3">
        <v>0</v>
      </c>
      <c r="G445" s="3">
        <v>0</v>
      </c>
    </row>
    <row r="446" spans="1:7" x14ac:dyDescent="0.25">
      <c r="A446" t="s">
        <v>30</v>
      </c>
      <c r="B446" t="s">
        <v>8</v>
      </c>
      <c r="C446">
        <v>37</v>
      </c>
      <c r="D446">
        <v>37</v>
      </c>
      <c r="E446">
        <v>30</v>
      </c>
      <c r="F446">
        <v>7</v>
      </c>
      <c r="G446">
        <v>0</v>
      </c>
    </row>
    <row r="447" spans="1:7" x14ac:dyDescent="0.25">
      <c r="A447" s="3" t="s">
        <v>30</v>
      </c>
      <c r="B447" s="3" t="s">
        <v>8</v>
      </c>
      <c r="C447" s="3">
        <v>32</v>
      </c>
      <c r="D447" s="3">
        <v>31</v>
      </c>
      <c r="E447" s="3">
        <v>24</v>
      </c>
      <c r="F447" s="3">
        <v>7</v>
      </c>
      <c r="G447" s="3">
        <v>0</v>
      </c>
    </row>
    <row r="448" spans="1:7" x14ac:dyDescent="0.25">
      <c r="A448" t="s">
        <v>30</v>
      </c>
      <c r="B448" t="s">
        <v>9</v>
      </c>
      <c r="C448">
        <v>16</v>
      </c>
      <c r="D448">
        <v>16</v>
      </c>
      <c r="E448">
        <v>16</v>
      </c>
      <c r="F448">
        <v>0</v>
      </c>
      <c r="G448">
        <v>0</v>
      </c>
    </row>
    <row r="449" spans="1:7" x14ac:dyDescent="0.25">
      <c r="A449" s="3" t="s">
        <v>30</v>
      </c>
      <c r="B449" s="3" t="s">
        <v>9</v>
      </c>
      <c r="C449" s="3">
        <v>15</v>
      </c>
      <c r="D449" s="3">
        <v>15</v>
      </c>
      <c r="E449" s="3">
        <v>15</v>
      </c>
      <c r="F449" s="3">
        <v>0</v>
      </c>
      <c r="G449" s="3">
        <v>0</v>
      </c>
    </row>
    <row r="450" spans="1:7" x14ac:dyDescent="0.25">
      <c r="A450" t="s">
        <v>30</v>
      </c>
      <c r="B450" t="s">
        <v>10</v>
      </c>
      <c r="C450">
        <v>127</v>
      </c>
      <c r="D450">
        <v>126</v>
      </c>
      <c r="E450">
        <v>104</v>
      </c>
      <c r="F450">
        <v>22</v>
      </c>
      <c r="G450">
        <v>0</v>
      </c>
    </row>
    <row r="451" spans="1:7" x14ac:dyDescent="0.25">
      <c r="A451" s="3" t="s">
        <v>30</v>
      </c>
      <c r="B451" s="3" t="s">
        <v>10</v>
      </c>
      <c r="C451" s="3">
        <v>89</v>
      </c>
      <c r="D451" s="3">
        <v>89</v>
      </c>
      <c r="E451" s="3">
        <v>81</v>
      </c>
      <c r="F451" s="3">
        <v>8</v>
      </c>
      <c r="G451" s="3">
        <v>0</v>
      </c>
    </row>
    <row r="452" spans="1:7" x14ac:dyDescent="0.25">
      <c r="A452" t="s">
        <v>30</v>
      </c>
      <c r="B452" t="s">
        <v>177</v>
      </c>
      <c r="C452">
        <v>30</v>
      </c>
      <c r="D452">
        <v>30</v>
      </c>
      <c r="E452">
        <v>28</v>
      </c>
      <c r="F452">
        <v>2</v>
      </c>
      <c r="G452">
        <v>0</v>
      </c>
    </row>
    <row r="453" spans="1:7" x14ac:dyDescent="0.25">
      <c r="A453" s="3" t="s">
        <v>30</v>
      </c>
      <c r="B453" s="3" t="s">
        <v>177</v>
      </c>
      <c r="C453" s="3">
        <v>23</v>
      </c>
      <c r="D453" s="3">
        <v>21</v>
      </c>
      <c r="E453" s="3">
        <v>21</v>
      </c>
      <c r="F453" s="3">
        <v>0</v>
      </c>
      <c r="G453" s="3">
        <v>0</v>
      </c>
    </row>
    <row r="454" spans="1:7" x14ac:dyDescent="0.25">
      <c r="A454" t="s">
        <v>69</v>
      </c>
      <c r="B454" t="s">
        <v>2</v>
      </c>
      <c r="C454">
        <v>4</v>
      </c>
      <c r="D454">
        <v>3</v>
      </c>
      <c r="E454">
        <v>2</v>
      </c>
      <c r="F454">
        <v>1</v>
      </c>
      <c r="G454">
        <v>0</v>
      </c>
    </row>
    <row r="455" spans="1:7" x14ac:dyDescent="0.25">
      <c r="A455" s="3" t="s">
        <v>69</v>
      </c>
      <c r="B455" s="3" t="s">
        <v>2</v>
      </c>
      <c r="C455" s="3">
        <v>10</v>
      </c>
      <c r="D455" s="3">
        <v>10</v>
      </c>
      <c r="E455" s="3">
        <v>10</v>
      </c>
      <c r="F455" s="3">
        <v>0</v>
      </c>
      <c r="G455" s="3">
        <v>0</v>
      </c>
    </row>
    <row r="456" spans="1:7" x14ac:dyDescent="0.25">
      <c r="A456" t="s">
        <v>69</v>
      </c>
      <c r="B456" t="s">
        <v>4</v>
      </c>
      <c r="C456">
        <v>3</v>
      </c>
      <c r="D456">
        <v>0</v>
      </c>
      <c r="E456">
        <v>0</v>
      </c>
      <c r="F456">
        <v>0</v>
      </c>
      <c r="G456">
        <v>0</v>
      </c>
    </row>
    <row r="457" spans="1:7" x14ac:dyDescent="0.25">
      <c r="A457" t="s">
        <v>69</v>
      </c>
      <c r="B457" t="s">
        <v>5</v>
      </c>
      <c r="C457">
        <v>52</v>
      </c>
      <c r="D457">
        <v>48</v>
      </c>
      <c r="E457">
        <f>21+16</f>
        <v>37</v>
      </c>
      <c r="F457">
        <f>28-26+9</f>
        <v>11</v>
      </c>
      <c r="G457">
        <v>0</v>
      </c>
    </row>
    <row r="458" spans="1:7" x14ac:dyDescent="0.25">
      <c r="A458" s="3" t="s">
        <v>69</v>
      </c>
      <c r="B458" s="3" t="s">
        <v>5</v>
      </c>
      <c r="C458" s="3">
        <v>33</v>
      </c>
      <c r="D458" s="3">
        <v>29</v>
      </c>
      <c r="E458" s="3">
        <v>17</v>
      </c>
      <c r="F458" s="3">
        <v>12</v>
      </c>
      <c r="G458" s="3">
        <v>0</v>
      </c>
    </row>
    <row r="459" spans="1:7" x14ac:dyDescent="0.25">
      <c r="A459" t="s">
        <v>69</v>
      </c>
      <c r="B459" t="s">
        <v>185</v>
      </c>
      <c r="C459">
        <f>67+6</f>
        <v>73</v>
      </c>
      <c r="D459">
        <f>66+4</f>
        <v>70</v>
      </c>
      <c r="E459">
        <v>39</v>
      </c>
      <c r="F459">
        <f>27+4</f>
        <v>31</v>
      </c>
      <c r="G459">
        <v>0</v>
      </c>
    </row>
    <row r="460" spans="1:7" x14ac:dyDescent="0.25">
      <c r="A460" s="3" t="s">
        <v>69</v>
      </c>
      <c r="B460" s="3" t="s">
        <v>185</v>
      </c>
      <c r="C460" s="3">
        <v>93</v>
      </c>
      <c r="D460" s="3">
        <v>84</v>
      </c>
      <c r="E460" s="3">
        <f>54+16</f>
        <v>70</v>
      </c>
      <c r="F460" s="3">
        <f>31-25+8</f>
        <v>14</v>
      </c>
      <c r="G460" s="3">
        <v>0</v>
      </c>
    </row>
    <row r="461" spans="1:7" x14ac:dyDescent="0.25">
      <c r="A461" t="s">
        <v>69</v>
      </c>
      <c r="B461" t="s">
        <v>186</v>
      </c>
      <c r="C461">
        <f>133+5</f>
        <v>138</v>
      </c>
      <c r="D461">
        <v>129</v>
      </c>
      <c r="E461">
        <f>85+22</f>
        <v>107</v>
      </c>
      <c r="F461">
        <f>45-29+6</f>
        <v>22</v>
      </c>
      <c r="G461">
        <v>0</v>
      </c>
    </row>
    <row r="462" spans="1:7" x14ac:dyDescent="0.25">
      <c r="A462" s="3" t="s">
        <v>69</v>
      </c>
      <c r="B462" s="3" t="s">
        <v>186</v>
      </c>
      <c r="C462" s="3">
        <v>114</v>
      </c>
      <c r="D462" s="3">
        <v>103</v>
      </c>
      <c r="E462" s="3">
        <v>78</v>
      </c>
      <c r="F462" s="3">
        <v>25</v>
      </c>
      <c r="G462" s="3">
        <v>0</v>
      </c>
    </row>
    <row r="463" spans="1:7" x14ac:dyDescent="0.25">
      <c r="A463" t="s">
        <v>69</v>
      </c>
      <c r="B463" t="s">
        <v>189</v>
      </c>
      <c r="C463">
        <v>2</v>
      </c>
      <c r="D463">
        <v>2</v>
      </c>
      <c r="E463">
        <v>1</v>
      </c>
      <c r="F463">
        <v>1</v>
      </c>
      <c r="G463">
        <v>0</v>
      </c>
    </row>
    <row r="464" spans="1:7" x14ac:dyDescent="0.25">
      <c r="A464" s="3" t="s">
        <v>69</v>
      </c>
      <c r="B464" s="3" t="s">
        <v>189</v>
      </c>
      <c r="C464" s="3">
        <v>1</v>
      </c>
      <c r="D464" s="3">
        <v>1</v>
      </c>
      <c r="E464" s="3">
        <v>0</v>
      </c>
      <c r="F464" s="3">
        <v>1</v>
      </c>
      <c r="G464" s="3">
        <v>0</v>
      </c>
    </row>
    <row r="465" spans="1:7" x14ac:dyDescent="0.25">
      <c r="A465" t="s">
        <v>69</v>
      </c>
      <c r="B465" t="s">
        <v>187</v>
      </c>
      <c r="C465">
        <f>176+2</f>
        <v>178</v>
      </c>
      <c r="D465">
        <f>169+2</f>
        <v>171</v>
      </c>
      <c r="E465">
        <f>122+19</f>
        <v>141</v>
      </c>
      <c r="F465">
        <f>49-25+6</f>
        <v>30</v>
      </c>
      <c r="G465">
        <v>0</v>
      </c>
    </row>
    <row r="466" spans="1:7" x14ac:dyDescent="0.25">
      <c r="A466" s="3" t="s">
        <v>69</v>
      </c>
      <c r="B466" s="3" t="s">
        <v>187</v>
      </c>
      <c r="C466" s="3">
        <v>259</v>
      </c>
      <c r="D466" s="3">
        <v>253</v>
      </c>
      <c r="E466" s="3">
        <v>188</v>
      </c>
      <c r="F466" s="3">
        <v>65</v>
      </c>
      <c r="G466" s="3">
        <v>1</v>
      </c>
    </row>
    <row r="467" spans="1:7" x14ac:dyDescent="0.25">
      <c r="A467" t="s">
        <v>69</v>
      </c>
      <c r="B467" t="s">
        <v>6</v>
      </c>
      <c r="C467">
        <v>92</v>
      </c>
      <c r="D467">
        <v>90</v>
      </c>
      <c r="E467">
        <v>90</v>
      </c>
      <c r="F467">
        <v>0</v>
      </c>
      <c r="G467">
        <v>0</v>
      </c>
    </row>
    <row r="468" spans="1:7" x14ac:dyDescent="0.25">
      <c r="A468" s="3" t="s">
        <v>69</v>
      </c>
      <c r="B468" s="3" t="s">
        <v>6</v>
      </c>
      <c r="C468" s="3">
        <v>69</v>
      </c>
      <c r="D468" s="3">
        <v>66</v>
      </c>
      <c r="E468" s="3">
        <v>66</v>
      </c>
      <c r="F468" s="3">
        <v>0</v>
      </c>
      <c r="G468" s="3">
        <v>0</v>
      </c>
    </row>
    <row r="469" spans="1:7" x14ac:dyDescent="0.25">
      <c r="A469" t="s">
        <v>69</v>
      </c>
      <c r="B469" t="s">
        <v>7</v>
      </c>
      <c r="C469">
        <v>13</v>
      </c>
      <c r="D469">
        <v>13</v>
      </c>
      <c r="E469">
        <v>11</v>
      </c>
      <c r="F469">
        <v>2</v>
      </c>
      <c r="G469">
        <v>0</v>
      </c>
    </row>
    <row r="470" spans="1:7" x14ac:dyDescent="0.25">
      <c r="A470" s="3" t="s">
        <v>69</v>
      </c>
      <c r="B470" s="3" t="s">
        <v>7</v>
      </c>
      <c r="C470" s="3">
        <v>7</v>
      </c>
      <c r="D470" s="3">
        <v>6</v>
      </c>
      <c r="E470" s="3">
        <v>2</v>
      </c>
      <c r="F470" s="3">
        <v>4</v>
      </c>
      <c r="G470" s="3">
        <v>0</v>
      </c>
    </row>
    <row r="471" spans="1:7" x14ac:dyDescent="0.25">
      <c r="A471" t="s">
        <v>69</v>
      </c>
      <c r="B471" t="s">
        <v>8</v>
      </c>
      <c r="C471">
        <v>23</v>
      </c>
      <c r="D471">
        <v>22</v>
      </c>
      <c r="E471">
        <v>22</v>
      </c>
      <c r="F471">
        <v>0</v>
      </c>
      <c r="G471">
        <v>0</v>
      </c>
    </row>
    <row r="472" spans="1:7" x14ac:dyDescent="0.25">
      <c r="A472" s="3" t="s">
        <v>69</v>
      </c>
      <c r="B472" s="3" t="s">
        <v>8</v>
      </c>
      <c r="C472" s="3">
        <v>28</v>
      </c>
      <c r="D472" s="3">
        <v>27</v>
      </c>
      <c r="E472" s="3">
        <v>23</v>
      </c>
      <c r="F472" s="3">
        <v>4</v>
      </c>
      <c r="G472" s="3">
        <v>0</v>
      </c>
    </row>
    <row r="473" spans="1:7" x14ac:dyDescent="0.25">
      <c r="A473" t="s">
        <v>69</v>
      </c>
      <c r="B473" t="s">
        <v>9</v>
      </c>
      <c r="C473">
        <v>15</v>
      </c>
      <c r="D473">
        <v>15</v>
      </c>
      <c r="E473">
        <v>15</v>
      </c>
      <c r="F473">
        <v>0</v>
      </c>
      <c r="G473">
        <v>0</v>
      </c>
    </row>
    <row r="474" spans="1:7" x14ac:dyDescent="0.25">
      <c r="A474" s="3" t="s">
        <v>69</v>
      </c>
      <c r="B474" s="3" t="s">
        <v>9</v>
      </c>
      <c r="C474" s="3">
        <v>7</v>
      </c>
      <c r="D474" s="3">
        <v>7</v>
      </c>
      <c r="E474" s="3">
        <v>7</v>
      </c>
      <c r="F474" s="3">
        <v>0</v>
      </c>
      <c r="G474" s="3">
        <v>0</v>
      </c>
    </row>
    <row r="475" spans="1:7" x14ac:dyDescent="0.25">
      <c r="A475" t="s">
        <v>69</v>
      </c>
      <c r="B475" t="s">
        <v>10</v>
      </c>
      <c r="C475">
        <v>97</v>
      </c>
      <c r="D475">
        <v>95</v>
      </c>
      <c r="E475">
        <v>76</v>
      </c>
      <c r="F475">
        <v>19</v>
      </c>
      <c r="G475">
        <v>0</v>
      </c>
    </row>
    <row r="476" spans="1:7" x14ac:dyDescent="0.25">
      <c r="A476" s="3" t="s">
        <v>69</v>
      </c>
      <c r="B476" s="3" t="s">
        <v>10</v>
      </c>
      <c r="C476" s="3">
        <v>126</v>
      </c>
      <c r="D476" s="3">
        <v>123</v>
      </c>
      <c r="E476" s="3">
        <v>102</v>
      </c>
      <c r="F476" s="3">
        <v>21</v>
      </c>
      <c r="G476" s="3">
        <v>1</v>
      </c>
    </row>
    <row r="477" spans="1:7" x14ac:dyDescent="0.25">
      <c r="A477" t="s">
        <v>69</v>
      </c>
      <c r="B477" t="s">
        <v>177</v>
      </c>
      <c r="C477">
        <v>12</v>
      </c>
      <c r="D477">
        <v>10</v>
      </c>
      <c r="E477">
        <v>10</v>
      </c>
      <c r="F477">
        <v>0</v>
      </c>
      <c r="G477">
        <v>0</v>
      </c>
    </row>
    <row r="478" spans="1:7" x14ac:dyDescent="0.25">
      <c r="A478" s="3" t="s">
        <v>69</v>
      </c>
      <c r="B478" s="3" t="s">
        <v>177</v>
      </c>
      <c r="C478" s="3">
        <v>5</v>
      </c>
      <c r="D478" s="3">
        <v>0</v>
      </c>
      <c r="E478" s="3">
        <v>0</v>
      </c>
      <c r="F478" s="3">
        <v>0</v>
      </c>
      <c r="G478" s="3">
        <v>0</v>
      </c>
    </row>
    <row r="479" spans="1:7" x14ac:dyDescent="0.25">
      <c r="A479" t="s">
        <v>131</v>
      </c>
      <c r="B479" t="s">
        <v>2</v>
      </c>
      <c r="C479">
        <v>23</v>
      </c>
      <c r="D479">
        <v>21</v>
      </c>
      <c r="E479">
        <f>13+2</f>
        <v>15</v>
      </c>
      <c r="F479">
        <f>9-4+1</f>
        <v>6</v>
      </c>
      <c r="G479">
        <v>0</v>
      </c>
    </row>
    <row r="480" spans="1:7" x14ac:dyDescent="0.25">
      <c r="A480" s="3" t="s">
        <v>131</v>
      </c>
      <c r="B480" s="3" t="s">
        <v>2</v>
      </c>
      <c r="C480" s="3">
        <v>9</v>
      </c>
      <c r="D480" s="3">
        <v>9</v>
      </c>
      <c r="E480" s="3">
        <v>7</v>
      </c>
      <c r="F480" s="3">
        <v>2</v>
      </c>
      <c r="G480" s="3">
        <v>0</v>
      </c>
    </row>
    <row r="481" spans="1:7" x14ac:dyDescent="0.25">
      <c r="A481" t="s">
        <v>131</v>
      </c>
      <c r="B481" t="s">
        <v>27</v>
      </c>
      <c r="C481">
        <v>1</v>
      </c>
      <c r="D481">
        <v>0</v>
      </c>
      <c r="E481">
        <v>0</v>
      </c>
      <c r="F481">
        <v>0</v>
      </c>
      <c r="G481">
        <v>0</v>
      </c>
    </row>
    <row r="482" spans="1:7" x14ac:dyDescent="0.25">
      <c r="A482" t="s">
        <v>131</v>
      </c>
      <c r="B482" t="s">
        <v>5</v>
      </c>
      <c r="C482">
        <v>47</v>
      </c>
      <c r="D482">
        <v>45</v>
      </c>
      <c r="E482">
        <f>26+13</f>
        <v>39</v>
      </c>
      <c r="F482">
        <f>19-13+0</f>
        <v>6</v>
      </c>
      <c r="G482">
        <v>0</v>
      </c>
    </row>
    <row r="483" spans="1:7" x14ac:dyDescent="0.25">
      <c r="A483" s="3" t="s">
        <v>131</v>
      </c>
      <c r="B483" s="3" t="s">
        <v>5</v>
      </c>
      <c r="C483" s="3">
        <v>26</v>
      </c>
      <c r="D483" s="3">
        <v>26</v>
      </c>
      <c r="E483" s="3">
        <v>19</v>
      </c>
      <c r="F483" s="3">
        <v>7</v>
      </c>
      <c r="G483" s="3">
        <v>0</v>
      </c>
    </row>
    <row r="484" spans="1:7" x14ac:dyDescent="0.25">
      <c r="A484" t="s">
        <v>131</v>
      </c>
      <c r="B484" t="s">
        <v>185</v>
      </c>
      <c r="C484">
        <f>80+15</f>
        <v>95</v>
      </c>
      <c r="D484">
        <f>78+14</f>
        <v>92</v>
      </c>
      <c r="E484">
        <f>49+9</f>
        <v>58</v>
      </c>
      <c r="F484">
        <f>29+5</f>
        <v>34</v>
      </c>
      <c r="G484">
        <v>0</v>
      </c>
    </row>
    <row r="485" spans="1:7" x14ac:dyDescent="0.25">
      <c r="A485" s="3" t="s">
        <v>131</v>
      </c>
      <c r="B485" s="3" t="s">
        <v>185</v>
      </c>
      <c r="C485" s="3">
        <v>73</v>
      </c>
      <c r="D485" s="3">
        <v>73</v>
      </c>
      <c r="E485" s="3">
        <f>52+15</f>
        <v>67</v>
      </c>
      <c r="F485" s="3">
        <f>21-17+2</f>
        <v>6</v>
      </c>
      <c r="G485" s="3">
        <v>0</v>
      </c>
    </row>
    <row r="486" spans="1:7" x14ac:dyDescent="0.25">
      <c r="A486" t="s">
        <v>131</v>
      </c>
      <c r="B486" t="s">
        <v>186</v>
      </c>
      <c r="C486">
        <f>160+4</f>
        <v>164</v>
      </c>
      <c r="D486">
        <v>161</v>
      </c>
      <c r="E486">
        <f>111+25</f>
        <v>136</v>
      </c>
      <c r="F486">
        <f>51-28+2</f>
        <v>25</v>
      </c>
      <c r="G486">
        <v>1</v>
      </c>
    </row>
    <row r="487" spans="1:7" x14ac:dyDescent="0.25">
      <c r="A487" s="3" t="s">
        <v>131</v>
      </c>
      <c r="B487" s="3" t="s">
        <v>186</v>
      </c>
      <c r="C487" s="3">
        <v>112</v>
      </c>
      <c r="D487" s="3">
        <v>107</v>
      </c>
      <c r="E487" s="3">
        <v>90</v>
      </c>
      <c r="F487" s="3">
        <v>17</v>
      </c>
      <c r="G487" s="3">
        <v>0</v>
      </c>
    </row>
    <row r="488" spans="1:7" x14ac:dyDescent="0.25">
      <c r="A488" t="s">
        <v>131</v>
      </c>
      <c r="B488" t="s">
        <v>187</v>
      </c>
      <c r="C488">
        <f>119+1</f>
        <v>120</v>
      </c>
      <c r="D488">
        <f>115+1</f>
        <v>116</v>
      </c>
      <c r="E488">
        <f>66+31</f>
        <v>97</v>
      </c>
      <c r="F488">
        <f>50-39+8</f>
        <v>19</v>
      </c>
      <c r="G488">
        <v>0</v>
      </c>
    </row>
    <row r="489" spans="1:7" x14ac:dyDescent="0.25">
      <c r="A489" s="3" t="s">
        <v>131</v>
      </c>
      <c r="B489" s="3" t="s">
        <v>187</v>
      </c>
      <c r="C489" s="3">
        <v>125</v>
      </c>
      <c r="D489" s="3">
        <v>121</v>
      </c>
      <c r="E489" s="3">
        <v>100</v>
      </c>
      <c r="F489" s="3">
        <v>21</v>
      </c>
      <c r="G489" s="3">
        <v>0</v>
      </c>
    </row>
    <row r="490" spans="1:7" x14ac:dyDescent="0.25">
      <c r="A490" t="s">
        <v>131</v>
      </c>
      <c r="B490" t="s">
        <v>6</v>
      </c>
      <c r="C490">
        <v>56</v>
      </c>
      <c r="D490">
        <v>55</v>
      </c>
      <c r="E490">
        <v>53</v>
      </c>
      <c r="F490">
        <v>2</v>
      </c>
      <c r="G490">
        <v>0</v>
      </c>
    </row>
    <row r="491" spans="1:7" x14ac:dyDescent="0.25">
      <c r="A491" s="3" t="s">
        <v>131</v>
      </c>
      <c r="B491" s="3" t="s">
        <v>6</v>
      </c>
      <c r="C491" s="3">
        <v>59</v>
      </c>
      <c r="D491" s="3">
        <v>58</v>
      </c>
      <c r="E491" s="3">
        <v>55</v>
      </c>
      <c r="F491" s="3">
        <v>3</v>
      </c>
      <c r="G491" s="3">
        <v>0</v>
      </c>
    </row>
    <row r="492" spans="1:7" x14ac:dyDescent="0.25">
      <c r="A492" t="s">
        <v>131</v>
      </c>
      <c r="B492" t="s">
        <v>7</v>
      </c>
      <c r="C492">
        <v>41</v>
      </c>
      <c r="D492">
        <v>41</v>
      </c>
      <c r="E492">
        <v>36</v>
      </c>
      <c r="F492">
        <v>5</v>
      </c>
      <c r="G492">
        <v>0</v>
      </c>
    </row>
    <row r="493" spans="1:7" x14ac:dyDescent="0.25">
      <c r="A493" s="3" t="s">
        <v>131</v>
      </c>
      <c r="B493" s="3" t="s">
        <v>7</v>
      </c>
      <c r="C493" s="3">
        <v>11</v>
      </c>
      <c r="D493" s="3">
        <v>8</v>
      </c>
      <c r="E493" s="3">
        <v>7</v>
      </c>
      <c r="F493" s="3">
        <v>1</v>
      </c>
      <c r="G493" s="3">
        <v>1</v>
      </c>
    </row>
    <row r="494" spans="1:7" x14ac:dyDescent="0.25">
      <c r="A494" t="s">
        <v>131</v>
      </c>
      <c r="B494" t="s">
        <v>8</v>
      </c>
      <c r="C494">
        <v>59</v>
      </c>
      <c r="D494">
        <v>59</v>
      </c>
      <c r="E494">
        <v>54</v>
      </c>
      <c r="F494">
        <v>5</v>
      </c>
      <c r="G494">
        <v>0</v>
      </c>
    </row>
    <row r="495" spans="1:7" x14ac:dyDescent="0.25">
      <c r="A495" s="3" t="s">
        <v>131</v>
      </c>
      <c r="B495" s="3" t="s">
        <v>8</v>
      </c>
      <c r="C495" s="3">
        <v>31</v>
      </c>
      <c r="D495" s="3">
        <v>30</v>
      </c>
      <c r="E495" s="3">
        <v>23</v>
      </c>
      <c r="F495" s="3">
        <v>7</v>
      </c>
      <c r="G495" s="3">
        <v>0</v>
      </c>
    </row>
    <row r="496" spans="1:7" x14ac:dyDescent="0.25">
      <c r="A496" t="s">
        <v>131</v>
      </c>
      <c r="B496" t="s">
        <v>9</v>
      </c>
      <c r="C496">
        <v>35</v>
      </c>
      <c r="D496">
        <v>35</v>
      </c>
      <c r="E496">
        <v>35</v>
      </c>
      <c r="F496">
        <v>0</v>
      </c>
      <c r="G496">
        <v>0</v>
      </c>
    </row>
    <row r="497" spans="1:7" x14ac:dyDescent="0.25">
      <c r="A497" s="3" t="s">
        <v>131</v>
      </c>
      <c r="B497" s="3" t="s">
        <v>9</v>
      </c>
      <c r="C497" s="3">
        <v>6</v>
      </c>
      <c r="D497" s="3">
        <v>6</v>
      </c>
      <c r="E497" s="3">
        <v>5</v>
      </c>
      <c r="F497" s="3">
        <v>1</v>
      </c>
      <c r="G497" s="3">
        <v>0</v>
      </c>
    </row>
    <row r="498" spans="1:7" x14ac:dyDescent="0.25">
      <c r="A498" t="s">
        <v>131</v>
      </c>
      <c r="B498" t="s">
        <v>10</v>
      </c>
      <c r="C498">
        <v>136</v>
      </c>
      <c r="D498">
        <v>135</v>
      </c>
      <c r="E498">
        <v>112</v>
      </c>
      <c r="F498">
        <v>23</v>
      </c>
      <c r="G498">
        <v>0</v>
      </c>
    </row>
    <row r="499" spans="1:7" x14ac:dyDescent="0.25">
      <c r="A499" s="3" t="s">
        <v>131</v>
      </c>
      <c r="B499" s="3" t="s">
        <v>10</v>
      </c>
      <c r="C499" s="3">
        <v>85</v>
      </c>
      <c r="D499" s="3">
        <v>85</v>
      </c>
      <c r="E499" s="3">
        <v>72</v>
      </c>
      <c r="F499" s="3">
        <v>13</v>
      </c>
      <c r="G499" s="3">
        <v>0</v>
      </c>
    </row>
    <row r="500" spans="1:7" x14ac:dyDescent="0.25">
      <c r="A500" t="s">
        <v>131</v>
      </c>
      <c r="B500" t="s">
        <v>177</v>
      </c>
      <c r="C500">
        <v>38</v>
      </c>
      <c r="D500">
        <v>33</v>
      </c>
      <c r="E500">
        <v>31</v>
      </c>
      <c r="F500">
        <v>2</v>
      </c>
      <c r="G500">
        <v>0</v>
      </c>
    </row>
    <row r="501" spans="1:7" x14ac:dyDescent="0.25">
      <c r="A501" s="3" t="s">
        <v>131</v>
      </c>
      <c r="B501" s="3" t="s">
        <v>177</v>
      </c>
      <c r="C501" s="3">
        <v>11</v>
      </c>
      <c r="D501" s="3">
        <v>7</v>
      </c>
      <c r="E501" s="3">
        <v>6</v>
      </c>
      <c r="F501" s="3">
        <v>1</v>
      </c>
      <c r="G501" s="3">
        <v>0</v>
      </c>
    </row>
    <row r="502" spans="1:7" x14ac:dyDescent="0.25">
      <c r="A502" t="s">
        <v>21</v>
      </c>
      <c r="B502" t="s">
        <v>2</v>
      </c>
      <c r="C502">
        <v>16</v>
      </c>
      <c r="D502">
        <v>16</v>
      </c>
      <c r="E502">
        <v>14</v>
      </c>
      <c r="F502">
        <v>2</v>
      </c>
      <c r="G502">
        <v>0</v>
      </c>
    </row>
    <row r="503" spans="1:7" x14ac:dyDescent="0.25">
      <c r="A503" s="3" t="s">
        <v>21</v>
      </c>
      <c r="B503" s="3" t="s">
        <v>2</v>
      </c>
      <c r="C503" s="3">
        <v>12</v>
      </c>
      <c r="D503" s="3">
        <v>12</v>
      </c>
      <c r="E503" s="3">
        <v>12</v>
      </c>
      <c r="F503" s="3">
        <v>0</v>
      </c>
      <c r="G503" s="3">
        <v>0</v>
      </c>
    </row>
    <row r="504" spans="1:7" x14ac:dyDescent="0.25">
      <c r="A504" t="s">
        <v>21</v>
      </c>
      <c r="B504" t="s">
        <v>4</v>
      </c>
      <c r="C504">
        <v>5</v>
      </c>
      <c r="D504">
        <v>0</v>
      </c>
      <c r="E504">
        <v>0</v>
      </c>
      <c r="F504">
        <v>0</v>
      </c>
      <c r="G504">
        <v>0</v>
      </c>
    </row>
    <row r="505" spans="1:7" x14ac:dyDescent="0.25">
      <c r="A505" t="s">
        <v>21</v>
      </c>
      <c r="B505" t="s">
        <v>5</v>
      </c>
      <c r="C505">
        <v>127</v>
      </c>
      <c r="D505">
        <v>125</v>
      </c>
      <c r="E505">
        <f>101+19</f>
        <v>120</v>
      </c>
      <c r="F505">
        <f>24-19</f>
        <v>5</v>
      </c>
      <c r="G505">
        <v>0</v>
      </c>
    </row>
    <row r="506" spans="1:7" x14ac:dyDescent="0.25">
      <c r="A506" s="3" t="s">
        <v>21</v>
      </c>
      <c r="B506" s="3" t="s">
        <v>5</v>
      </c>
      <c r="C506" s="3">
        <v>78</v>
      </c>
      <c r="D506" s="3">
        <v>78</v>
      </c>
      <c r="E506" s="3">
        <v>66</v>
      </c>
      <c r="F506" s="3">
        <v>12</v>
      </c>
      <c r="G506" s="3">
        <v>0</v>
      </c>
    </row>
    <row r="507" spans="1:7" x14ac:dyDescent="0.25">
      <c r="A507" t="s">
        <v>21</v>
      </c>
      <c r="B507" t="s">
        <v>185</v>
      </c>
      <c r="C507">
        <f>126+7</f>
        <v>133</v>
      </c>
      <c r="D507">
        <f>126+7</f>
        <v>133</v>
      </c>
      <c r="E507">
        <f>85+22</f>
        <v>107</v>
      </c>
      <c r="F507">
        <f>48-31+9</f>
        <v>26</v>
      </c>
      <c r="G507">
        <v>0</v>
      </c>
    </row>
    <row r="508" spans="1:7" x14ac:dyDescent="0.25">
      <c r="A508" s="3" t="s">
        <v>21</v>
      </c>
      <c r="B508" s="3" t="s">
        <v>185</v>
      </c>
      <c r="C508" s="3">
        <v>100</v>
      </c>
      <c r="D508" s="3">
        <v>100</v>
      </c>
      <c r="E508" s="3">
        <v>77</v>
      </c>
      <c r="F508" s="3">
        <v>23</v>
      </c>
      <c r="G508" s="3">
        <v>0</v>
      </c>
    </row>
    <row r="509" spans="1:7" x14ac:dyDescent="0.25">
      <c r="A509" t="s">
        <v>21</v>
      </c>
      <c r="B509" t="s">
        <v>186</v>
      </c>
      <c r="C509">
        <f>269+7</f>
        <v>276</v>
      </c>
      <c r="D509">
        <v>265</v>
      </c>
      <c r="E509">
        <f>194+44</f>
        <v>238</v>
      </c>
      <c r="F509">
        <f>73-51+5</f>
        <v>27</v>
      </c>
      <c r="G509">
        <v>0</v>
      </c>
    </row>
    <row r="510" spans="1:7" x14ac:dyDescent="0.25">
      <c r="A510" s="3" t="s">
        <v>21</v>
      </c>
      <c r="B510" s="3" t="s">
        <v>186</v>
      </c>
      <c r="C510" s="3">
        <v>141</v>
      </c>
      <c r="D510" s="3">
        <v>132</v>
      </c>
      <c r="E510" s="3">
        <v>103</v>
      </c>
      <c r="F510" s="3">
        <v>29</v>
      </c>
      <c r="G510" s="3">
        <v>1</v>
      </c>
    </row>
    <row r="511" spans="1:7" x14ac:dyDescent="0.25">
      <c r="A511" t="s">
        <v>21</v>
      </c>
      <c r="B511" t="s">
        <v>187</v>
      </c>
      <c r="C511">
        <f>215+4</f>
        <v>219</v>
      </c>
      <c r="D511">
        <f>215+4</f>
        <v>219</v>
      </c>
      <c r="E511">
        <f>163+1</f>
        <v>164</v>
      </c>
      <c r="F511">
        <f>52+3</f>
        <v>55</v>
      </c>
      <c r="G511">
        <v>0</v>
      </c>
    </row>
    <row r="512" spans="1:7" x14ac:dyDescent="0.25">
      <c r="A512" s="3" t="s">
        <v>21</v>
      </c>
      <c r="B512" s="3" t="s">
        <v>187</v>
      </c>
      <c r="C512" s="3">
        <v>154</v>
      </c>
      <c r="D512" s="3">
        <v>153</v>
      </c>
      <c r="E512" s="3">
        <f>123+26</f>
        <v>149</v>
      </c>
      <c r="F512" s="3">
        <f>30-29+3</f>
        <v>4</v>
      </c>
      <c r="G512" s="3">
        <v>1</v>
      </c>
    </row>
    <row r="513" spans="1:7" x14ac:dyDescent="0.25">
      <c r="A513" t="s">
        <v>21</v>
      </c>
      <c r="B513" t="s">
        <v>6</v>
      </c>
      <c r="C513">
        <v>60</v>
      </c>
      <c r="D513">
        <v>60</v>
      </c>
      <c r="E513">
        <v>60</v>
      </c>
      <c r="F513">
        <v>0</v>
      </c>
      <c r="G513">
        <v>0</v>
      </c>
    </row>
    <row r="514" spans="1:7" x14ac:dyDescent="0.25">
      <c r="A514" s="3" t="s">
        <v>21</v>
      </c>
      <c r="B514" s="3" t="s">
        <v>6</v>
      </c>
      <c r="C514" s="3">
        <v>39</v>
      </c>
      <c r="D514" s="3">
        <v>37</v>
      </c>
      <c r="E514" s="3">
        <v>37</v>
      </c>
      <c r="F514" s="3">
        <v>0</v>
      </c>
      <c r="G514" s="3">
        <v>1</v>
      </c>
    </row>
    <row r="515" spans="1:7" x14ac:dyDescent="0.25">
      <c r="A515" t="s">
        <v>21</v>
      </c>
      <c r="B515" t="s">
        <v>7</v>
      </c>
      <c r="C515">
        <v>26</v>
      </c>
      <c r="D515">
        <v>26</v>
      </c>
      <c r="E515">
        <v>24</v>
      </c>
      <c r="F515">
        <v>2</v>
      </c>
      <c r="G515">
        <v>0</v>
      </c>
    </row>
    <row r="516" spans="1:7" x14ac:dyDescent="0.25">
      <c r="A516" s="3" t="s">
        <v>21</v>
      </c>
      <c r="B516" s="3" t="s">
        <v>7</v>
      </c>
      <c r="C516" s="3">
        <v>15</v>
      </c>
      <c r="D516" s="3">
        <v>14</v>
      </c>
      <c r="E516" s="3">
        <v>14</v>
      </c>
      <c r="F516" s="3">
        <v>0</v>
      </c>
      <c r="G516" s="3">
        <v>1</v>
      </c>
    </row>
    <row r="517" spans="1:7" x14ac:dyDescent="0.25">
      <c r="A517" t="s">
        <v>21</v>
      </c>
      <c r="B517" t="s">
        <v>8</v>
      </c>
      <c r="C517">
        <v>59</v>
      </c>
      <c r="D517">
        <v>58</v>
      </c>
      <c r="E517">
        <v>51</v>
      </c>
      <c r="F517">
        <v>7</v>
      </c>
      <c r="G517">
        <v>0</v>
      </c>
    </row>
    <row r="518" spans="1:7" x14ac:dyDescent="0.25">
      <c r="A518" s="3" t="s">
        <v>21</v>
      </c>
      <c r="B518" s="3" t="s">
        <v>8</v>
      </c>
      <c r="C518" s="3">
        <v>14</v>
      </c>
      <c r="D518" s="3">
        <v>14</v>
      </c>
      <c r="E518" s="3">
        <v>14</v>
      </c>
      <c r="F518" s="3">
        <v>0</v>
      </c>
      <c r="G518" s="3">
        <v>0</v>
      </c>
    </row>
    <row r="519" spans="1:7" x14ac:dyDescent="0.25">
      <c r="A519" t="s">
        <v>21</v>
      </c>
      <c r="B519" t="s">
        <v>9</v>
      </c>
      <c r="C519">
        <v>25</v>
      </c>
      <c r="D519">
        <v>23</v>
      </c>
      <c r="E519">
        <v>23</v>
      </c>
      <c r="F519">
        <v>0</v>
      </c>
      <c r="G519">
        <v>0</v>
      </c>
    </row>
    <row r="520" spans="1:7" x14ac:dyDescent="0.25">
      <c r="A520" s="3" t="s">
        <v>21</v>
      </c>
      <c r="B520" s="3" t="s">
        <v>9</v>
      </c>
      <c r="C520" s="3">
        <v>6</v>
      </c>
      <c r="D520" s="3">
        <v>6</v>
      </c>
      <c r="E520" s="3">
        <v>6</v>
      </c>
      <c r="F520" s="3">
        <v>0</v>
      </c>
      <c r="G520" s="3">
        <v>0</v>
      </c>
    </row>
    <row r="521" spans="1:7" x14ac:dyDescent="0.25">
      <c r="A521" t="s">
        <v>21</v>
      </c>
      <c r="B521" t="s">
        <v>10</v>
      </c>
      <c r="C521">
        <v>212</v>
      </c>
      <c r="D521">
        <v>211</v>
      </c>
      <c r="E521">
        <v>207</v>
      </c>
      <c r="F521">
        <v>4</v>
      </c>
      <c r="G521">
        <v>0</v>
      </c>
    </row>
    <row r="522" spans="1:7" x14ac:dyDescent="0.25">
      <c r="A522" s="3" t="s">
        <v>21</v>
      </c>
      <c r="B522" s="3" t="s">
        <v>10</v>
      </c>
      <c r="C522" s="3">
        <v>149</v>
      </c>
      <c r="D522" s="3">
        <v>147</v>
      </c>
      <c r="E522" s="3">
        <v>128</v>
      </c>
      <c r="F522" s="3">
        <v>19</v>
      </c>
      <c r="G522" s="3">
        <v>1</v>
      </c>
    </row>
    <row r="523" spans="1:7" x14ac:dyDescent="0.25">
      <c r="A523" t="s">
        <v>21</v>
      </c>
      <c r="B523" t="s">
        <v>177</v>
      </c>
      <c r="C523">
        <v>122</v>
      </c>
      <c r="D523">
        <v>122</v>
      </c>
      <c r="E523">
        <v>122</v>
      </c>
      <c r="F523">
        <v>0</v>
      </c>
      <c r="G523">
        <v>0</v>
      </c>
    </row>
    <row r="524" spans="1:7" x14ac:dyDescent="0.25">
      <c r="A524" s="3" t="s">
        <v>21</v>
      </c>
      <c r="B524" s="3" t="s">
        <v>177</v>
      </c>
      <c r="C524" s="3">
        <v>57</v>
      </c>
      <c r="D524" s="3">
        <v>56</v>
      </c>
      <c r="E524" s="3">
        <v>56</v>
      </c>
      <c r="F524" s="3">
        <v>0</v>
      </c>
      <c r="G524" s="3">
        <v>0</v>
      </c>
    </row>
    <row r="525" spans="1:7" x14ac:dyDescent="0.25">
      <c r="A525" t="s">
        <v>51</v>
      </c>
      <c r="B525" t="s">
        <v>2</v>
      </c>
      <c r="C525">
        <v>13</v>
      </c>
      <c r="D525">
        <v>11</v>
      </c>
      <c r="E525">
        <f>7+3</f>
        <v>10</v>
      </c>
      <c r="F525">
        <f>4-4+1</f>
        <v>1</v>
      </c>
      <c r="G525">
        <v>0</v>
      </c>
    </row>
    <row r="526" spans="1:7" x14ac:dyDescent="0.25">
      <c r="A526" s="3" t="s">
        <v>51</v>
      </c>
      <c r="B526" s="3" t="s">
        <v>2</v>
      </c>
      <c r="C526" s="3">
        <v>9</v>
      </c>
      <c r="D526" s="3">
        <v>8</v>
      </c>
      <c r="E526" s="3">
        <v>8</v>
      </c>
      <c r="F526" s="3">
        <v>0</v>
      </c>
      <c r="G526" s="3">
        <v>1</v>
      </c>
    </row>
    <row r="527" spans="1:7" x14ac:dyDescent="0.25">
      <c r="A527" t="s">
        <v>51</v>
      </c>
      <c r="B527" t="s">
        <v>4</v>
      </c>
      <c r="C527">
        <v>4</v>
      </c>
      <c r="D527">
        <v>0</v>
      </c>
      <c r="E527">
        <v>0</v>
      </c>
      <c r="F527">
        <v>0</v>
      </c>
      <c r="G527">
        <v>0</v>
      </c>
    </row>
    <row r="528" spans="1:7" x14ac:dyDescent="0.25">
      <c r="A528" t="s">
        <v>51</v>
      </c>
      <c r="B528" t="s">
        <v>5</v>
      </c>
      <c r="C528">
        <v>75</v>
      </c>
      <c r="D528">
        <v>69</v>
      </c>
      <c r="E528">
        <f>63+6</f>
        <v>69</v>
      </c>
      <c r="F528">
        <f>6-6+0</f>
        <v>0</v>
      </c>
      <c r="G528">
        <v>5</v>
      </c>
    </row>
    <row r="529" spans="1:7" x14ac:dyDescent="0.25">
      <c r="A529" s="3" t="s">
        <v>51</v>
      </c>
      <c r="B529" s="3" t="s">
        <v>5</v>
      </c>
      <c r="C529" s="3">
        <v>18</v>
      </c>
      <c r="D529" s="3">
        <v>14</v>
      </c>
      <c r="E529" s="3">
        <v>13</v>
      </c>
      <c r="F529" s="3">
        <v>1</v>
      </c>
      <c r="G529" s="3">
        <v>4</v>
      </c>
    </row>
    <row r="530" spans="1:7" x14ac:dyDescent="0.25">
      <c r="A530" t="s">
        <v>51</v>
      </c>
      <c r="B530" t="s">
        <v>185</v>
      </c>
      <c r="C530">
        <f>143+16</f>
        <v>159</v>
      </c>
      <c r="D530">
        <f>127+13</f>
        <v>140</v>
      </c>
      <c r="E530">
        <f>98+11</f>
        <v>109</v>
      </c>
      <c r="F530">
        <f>29+2</f>
        <v>31</v>
      </c>
      <c r="G530">
        <f>16+2</f>
        <v>18</v>
      </c>
    </row>
    <row r="531" spans="1:7" x14ac:dyDescent="0.25">
      <c r="A531" s="3" t="s">
        <v>51</v>
      </c>
      <c r="B531" s="3" t="s">
        <v>185</v>
      </c>
      <c r="C531" s="3">
        <v>130</v>
      </c>
      <c r="D531" s="3">
        <v>108</v>
      </c>
      <c r="E531" s="3">
        <f>85+17</f>
        <v>102</v>
      </c>
      <c r="F531" s="3">
        <f>26-22+2</f>
        <v>6</v>
      </c>
      <c r="G531" s="3">
        <f>17+2</f>
        <v>19</v>
      </c>
    </row>
    <row r="532" spans="1:7" x14ac:dyDescent="0.25">
      <c r="A532" t="s">
        <v>51</v>
      </c>
      <c r="B532" t="s">
        <v>186</v>
      </c>
      <c r="C532">
        <f>173+6</f>
        <v>179</v>
      </c>
      <c r="D532">
        <f>169+6</f>
        <v>175</v>
      </c>
      <c r="E532">
        <f>159+5</f>
        <v>164</v>
      </c>
      <c r="F532">
        <f>16-7+2</f>
        <v>11</v>
      </c>
      <c r="G532">
        <v>2</v>
      </c>
    </row>
    <row r="533" spans="1:7" x14ac:dyDescent="0.25">
      <c r="A533" s="3" t="s">
        <v>51</v>
      </c>
      <c r="B533" s="3" t="s">
        <v>186</v>
      </c>
      <c r="C533" s="3">
        <v>122</v>
      </c>
      <c r="D533" s="3">
        <v>114</v>
      </c>
      <c r="E533" s="3">
        <v>108</v>
      </c>
      <c r="F533" s="3">
        <v>6</v>
      </c>
      <c r="G533" s="3">
        <v>3</v>
      </c>
    </row>
    <row r="534" spans="1:7" x14ac:dyDescent="0.25">
      <c r="A534" t="s">
        <v>51</v>
      </c>
      <c r="B534" t="s">
        <v>187</v>
      </c>
      <c r="C534">
        <f>327+7</f>
        <v>334</v>
      </c>
      <c r="D534">
        <f>325+5</f>
        <v>330</v>
      </c>
      <c r="E534">
        <f>266+5</f>
        <v>271</v>
      </c>
      <c r="F534">
        <v>59</v>
      </c>
      <c r="G534">
        <f>1+2</f>
        <v>3</v>
      </c>
    </row>
    <row r="535" spans="1:7" x14ac:dyDescent="0.25">
      <c r="A535" s="3" t="s">
        <v>51</v>
      </c>
      <c r="B535" s="3" t="s">
        <v>187</v>
      </c>
      <c r="C535" s="3">
        <v>220</v>
      </c>
      <c r="D535" s="3">
        <v>212</v>
      </c>
      <c r="E535" s="3">
        <f>179+21</f>
        <v>200</v>
      </c>
      <c r="F535" s="3">
        <f>35-28+5</f>
        <v>12</v>
      </c>
      <c r="G535" s="3">
        <v>5</v>
      </c>
    </row>
    <row r="536" spans="1:7" x14ac:dyDescent="0.25">
      <c r="A536" t="s">
        <v>51</v>
      </c>
      <c r="B536" t="s">
        <v>6</v>
      </c>
      <c r="C536">
        <v>157</v>
      </c>
      <c r="D536">
        <v>157</v>
      </c>
      <c r="E536">
        <v>157</v>
      </c>
      <c r="F536">
        <v>0</v>
      </c>
      <c r="G536">
        <v>0</v>
      </c>
    </row>
    <row r="537" spans="1:7" x14ac:dyDescent="0.25">
      <c r="A537" s="3" t="s">
        <v>51</v>
      </c>
      <c r="B537" s="3" t="s">
        <v>6</v>
      </c>
      <c r="C537" s="3">
        <v>59</v>
      </c>
      <c r="D537" s="3">
        <v>57</v>
      </c>
      <c r="E537" s="3">
        <v>57</v>
      </c>
      <c r="F537" s="3">
        <v>0</v>
      </c>
      <c r="G537" s="3">
        <v>1</v>
      </c>
    </row>
    <row r="538" spans="1:7" x14ac:dyDescent="0.25">
      <c r="A538" t="s">
        <v>51</v>
      </c>
      <c r="B538" t="s">
        <v>7</v>
      </c>
      <c r="C538">
        <v>57</v>
      </c>
      <c r="D538">
        <v>53</v>
      </c>
      <c r="E538">
        <v>47</v>
      </c>
      <c r="F538">
        <v>6</v>
      </c>
      <c r="G538">
        <v>2</v>
      </c>
    </row>
    <row r="539" spans="1:7" x14ac:dyDescent="0.25">
      <c r="A539" s="3" t="s">
        <v>51</v>
      </c>
      <c r="B539" s="3" t="s">
        <v>7</v>
      </c>
      <c r="C539" s="3">
        <v>32</v>
      </c>
      <c r="D539" s="3">
        <v>28</v>
      </c>
      <c r="E539" s="3">
        <v>23</v>
      </c>
      <c r="F539" s="3">
        <v>5</v>
      </c>
      <c r="G539" s="3">
        <v>0</v>
      </c>
    </row>
    <row r="540" spans="1:7" x14ac:dyDescent="0.25">
      <c r="A540" t="s">
        <v>51</v>
      </c>
      <c r="B540" t="s">
        <v>8</v>
      </c>
      <c r="C540">
        <v>117</v>
      </c>
      <c r="D540">
        <v>86</v>
      </c>
      <c r="E540">
        <v>85</v>
      </c>
      <c r="F540">
        <v>1</v>
      </c>
      <c r="G540">
        <v>1</v>
      </c>
    </row>
    <row r="541" spans="1:7" x14ac:dyDescent="0.25">
      <c r="A541" s="3" t="s">
        <v>51</v>
      </c>
      <c r="B541" s="3" t="s">
        <v>8</v>
      </c>
      <c r="C541" s="3">
        <v>44</v>
      </c>
      <c r="D541" s="3">
        <v>19</v>
      </c>
      <c r="E541" s="3">
        <v>18</v>
      </c>
      <c r="F541" s="3">
        <v>1</v>
      </c>
      <c r="G541" s="3">
        <v>0</v>
      </c>
    </row>
    <row r="542" spans="1:7" x14ac:dyDescent="0.25">
      <c r="A542" t="s">
        <v>51</v>
      </c>
      <c r="B542" t="s">
        <v>9</v>
      </c>
      <c r="C542">
        <v>102</v>
      </c>
      <c r="D542">
        <v>76</v>
      </c>
      <c r="E542">
        <v>75</v>
      </c>
      <c r="F542">
        <v>1</v>
      </c>
      <c r="G542">
        <v>0</v>
      </c>
    </row>
    <row r="543" spans="1:7" x14ac:dyDescent="0.25">
      <c r="A543" s="3" t="s">
        <v>51</v>
      </c>
      <c r="B543" s="3" t="s">
        <v>9</v>
      </c>
      <c r="C543" s="3">
        <v>17</v>
      </c>
      <c r="D543" s="3">
        <v>5</v>
      </c>
      <c r="E543" s="3">
        <v>5</v>
      </c>
      <c r="F543" s="3">
        <v>0</v>
      </c>
      <c r="G543" s="3">
        <v>0</v>
      </c>
    </row>
    <row r="544" spans="1:7" x14ac:dyDescent="0.25">
      <c r="A544" t="s">
        <v>51</v>
      </c>
      <c r="B544" t="s">
        <v>10</v>
      </c>
      <c r="C544">
        <v>401</v>
      </c>
      <c r="D544">
        <v>400</v>
      </c>
      <c r="E544">
        <v>356</v>
      </c>
      <c r="F544">
        <v>44</v>
      </c>
      <c r="G544">
        <v>1</v>
      </c>
    </row>
    <row r="545" spans="1:7" x14ac:dyDescent="0.25">
      <c r="A545" s="3" t="s">
        <v>51</v>
      </c>
      <c r="B545" s="3" t="s">
        <v>10</v>
      </c>
      <c r="C545" s="3">
        <v>271</v>
      </c>
      <c r="D545" s="3">
        <v>269</v>
      </c>
      <c r="E545" s="3">
        <v>214</v>
      </c>
      <c r="F545" s="3">
        <v>55</v>
      </c>
      <c r="G545" s="3">
        <v>0</v>
      </c>
    </row>
    <row r="546" spans="1:7" x14ac:dyDescent="0.25">
      <c r="A546" t="s">
        <v>51</v>
      </c>
      <c r="B546" t="s">
        <v>177</v>
      </c>
      <c r="C546">
        <v>69</v>
      </c>
      <c r="D546">
        <v>61</v>
      </c>
      <c r="E546">
        <v>60</v>
      </c>
      <c r="F546">
        <v>1</v>
      </c>
      <c r="G546">
        <v>0</v>
      </c>
    </row>
    <row r="547" spans="1:7" x14ac:dyDescent="0.25">
      <c r="A547" s="3" t="s">
        <v>51</v>
      </c>
      <c r="B547" s="3" t="s">
        <v>177</v>
      </c>
      <c r="C547" s="3">
        <v>13</v>
      </c>
      <c r="D547" s="3">
        <v>11</v>
      </c>
      <c r="E547" s="3">
        <v>11</v>
      </c>
      <c r="F547" s="3">
        <v>0</v>
      </c>
      <c r="G547" s="3">
        <v>0</v>
      </c>
    </row>
    <row r="548" spans="1:7" x14ac:dyDescent="0.25">
      <c r="A548" t="s">
        <v>103</v>
      </c>
      <c r="B548" t="s">
        <v>2</v>
      </c>
      <c r="C548">
        <v>31</v>
      </c>
      <c r="D548">
        <v>31</v>
      </c>
      <c r="E548">
        <v>29</v>
      </c>
      <c r="F548">
        <v>2</v>
      </c>
      <c r="G548">
        <v>0</v>
      </c>
    </row>
    <row r="549" spans="1:7" x14ac:dyDescent="0.25">
      <c r="A549" s="3" t="s">
        <v>103</v>
      </c>
      <c r="B549" s="3" t="s">
        <v>2</v>
      </c>
      <c r="C549" s="3">
        <v>7</v>
      </c>
      <c r="D549" s="3">
        <v>7</v>
      </c>
      <c r="E549" s="3">
        <v>7</v>
      </c>
      <c r="F549" s="3">
        <v>0</v>
      </c>
      <c r="G549" s="3">
        <v>0</v>
      </c>
    </row>
    <row r="550" spans="1:7" x14ac:dyDescent="0.25">
      <c r="A550" t="s">
        <v>103</v>
      </c>
      <c r="B550" t="s">
        <v>4</v>
      </c>
      <c r="C550">
        <v>1</v>
      </c>
      <c r="D550">
        <v>0</v>
      </c>
      <c r="E550">
        <v>0</v>
      </c>
      <c r="F550">
        <v>0</v>
      </c>
      <c r="G550">
        <v>0</v>
      </c>
    </row>
    <row r="551" spans="1:7" x14ac:dyDescent="0.25">
      <c r="A551" t="s">
        <v>103</v>
      </c>
      <c r="B551" t="s">
        <v>5</v>
      </c>
      <c r="C551">
        <v>35</v>
      </c>
      <c r="D551">
        <v>31</v>
      </c>
      <c r="E551">
        <f>20+9</f>
        <v>29</v>
      </c>
      <c r="F551">
        <f>11-9+0</f>
        <v>2</v>
      </c>
      <c r="G551">
        <v>1</v>
      </c>
    </row>
    <row r="552" spans="1:7" x14ac:dyDescent="0.25">
      <c r="A552" s="3" t="s">
        <v>103</v>
      </c>
      <c r="B552" s="3" t="s">
        <v>5</v>
      </c>
      <c r="C552" s="3">
        <v>6</v>
      </c>
      <c r="D552" s="3">
        <v>5</v>
      </c>
      <c r="E552" s="3">
        <v>4</v>
      </c>
      <c r="F552" s="3">
        <v>1</v>
      </c>
      <c r="G552" s="3">
        <v>0</v>
      </c>
    </row>
    <row r="553" spans="1:7" x14ac:dyDescent="0.25">
      <c r="A553" t="s">
        <v>103</v>
      </c>
      <c r="B553" t="s">
        <v>185</v>
      </c>
      <c r="C553">
        <f>149+22</f>
        <v>171</v>
      </c>
      <c r="D553">
        <v>168</v>
      </c>
      <c r="E553">
        <f>74+62</f>
        <v>136</v>
      </c>
      <c r="F553">
        <f>95-67+4</f>
        <v>32</v>
      </c>
      <c r="G553">
        <v>0</v>
      </c>
    </row>
    <row r="554" spans="1:7" x14ac:dyDescent="0.25">
      <c r="A554" s="3" t="s">
        <v>103</v>
      </c>
      <c r="B554" s="3" t="s">
        <v>185</v>
      </c>
      <c r="C554" s="3">
        <v>155</v>
      </c>
      <c r="D554" s="3">
        <v>150</v>
      </c>
      <c r="E554" s="3">
        <v>114</v>
      </c>
      <c r="F554" s="3">
        <v>36</v>
      </c>
      <c r="G554" s="3">
        <v>0</v>
      </c>
    </row>
    <row r="555" spans="1:7" x14ac:dyDescent="0.25">
      <c r="A555" t="s">
        <v>103</v>
      </c>
      <c r="B555" t="s">
        <v>186</v>
      </c>
      <c r="C555">
        <f>284+34</f>
        <v>318</v>
      </c>
      <c r="D555">
        <v>289</v>
      </c>
      <c r="E555">
        <f>210+59</f>
        <v>269</v>
      </c>
      <c r="F555">
        <f>88-81+13</f>
        <v>20</v>
      </c>
      <c r="G555">
        <f>8+4</f>
        <v>12</v>
      </c>
    </row>
    <row r="556" spans="1:7" x14ac:dyDescent="0.25">
      <c r="A556" s="3" t="s">
        <v>103</v>
      </c>
      <c r="B556" s="3" t="s">
        <v>186</v>
      </c>
      <c r="C556" s="3">
        <v>232</v>
      </c>
      <c r="D556" s="3">
        <v>217</v>
      </c>
      <c r="E556" s="3">
        <v>197</v>
      </c>
      <c r="F556" s="3">
        <v>20</v>
      </c>
      <c r="G556" s="3">
        <v>7</v>
      </c>
    </row>
    <row r="557" spans="1:7" x14ac:dyDescent="0.25">
      <c r="A557" t="s">
        <v>103</v>
      </c>
      <c r="B557" t="s">
        <v>189</v>
      </c>
      <c r="C557">
        <v>1</v>
      </c>
      <c r="D557">
        <v>1</v>
      </c>
      <c r="E557">
        <v>1</v>
      </c>
      <c r="F557">
        <v>0</v>
      </c>
      <c r="G557">
        <v>0</v>
      </c>
    </row>
    <row r="558" spans="1:7" x14ac:dyDescent="0.25">
      <c r="A558" t="s">
        <v>103</v>
      </c>
      <c r="B558" t="s">
        <v>187</v>
      </c>
      <c r="C558">
        <f>613+5</f>
        <v>618</v>
      </c>
      <c r="D558">
        <v>502</v>
      </c>
      <c r="E558">
        <f>369+99</f>
        <v>468</v>
      </c>
      <c r="F558">
        <f>137-107+4</f>
        <v>34</v>
      </c>
      <c r="G558">
        <f>2+1</f>
        <v>3</v>
      </c>
    </row>
    <row r="559" spans="1:7" x14ac:dyDescent="0.25">
      <c r="A559" s="3" t="s">
        <v>103</v>
      </c>
      <c r="B559" s="3" t="s">
        <v>187</v>
      </c>
      <c r="C559" s="3">
        <v>478</v>
      </c>
      <c r="D559" s="3">
        <v>474</v>
      </c>
      <c r="E559" s="3">
        <v>436</v>
      </c>
      <c r="F559" s="3">
        <v>38</v>
      </c>
      <c r="G559" s="3">
        <v>4</v>
      </c>
    </row>
    <row r="560" spans="1:7" x14ac:dyDescent="0.25">
      <c r="A560" t="s">
        <v>103</v>
      </c>
      <c r="B560" t="s">
        <v>6</v>
      </c>
      <c r="C560">
        <v>85</v>
      </c>
      <c r="D560">
        <v>85</v>
      </c>
      <c r="E560">
        <v>85</v>
      </c>
      <c r="F560">
        <v>0</v>
      </c>
      <c r="G560">
        <v>0</v>
      </c>
    </row>
    <row r="561" spans="1:7" x14ac:dyDescent="0.25">
      <c r="A561" s="3" t="s">
        <v>103</v>
      </c>
      <c r="B561" s="3" t="s">
        <v>6</v>
      </c>
      <c r="C561" s="3">
        <v>41</v>
      </c>
      <c r="D561" s="3">
        <v>36</v>
      </c>
      <c r="E561" s="3">
        <v>36</v>
      </c>
      <c r="F561" s="3">
        <v>0</v>
      </c>
      <c r="G561" s="3">
        <v>4</v>
      </c>
    </row>
    <row r="562" spans="1:7" x14ac:dyDescent="0.25">
      <c r="A562" t="s">
        <v>103</v>
      </c>
      <c r="B562" t="s">
        <v>7</v>
      </c>
      <c r="C562">
        <v>39</v>
      </c>
      <c r="D562">
        <v>36</v>
      </c>
      <c r="E562">
        <v>35</v>
      </c>
      <c r="F562">
        <v>1</v>
      </c>
      <c r="G562">
        <v>0</v>
      </c>
    </row>
    <row r="563" spans="1:7" x14ac:dyDescent="0.25">
      <c r="A563" s="3" t="s">
        <v>103</v>
      </c>
      <c r="B563" s="3" t="s">
        <v>7</v>
      </c>
      <c r="C563" s="3">
        <v>34</v>
      </c>
      <c r="D563" s="3">
        <v>34</v>
      </c>
      <c r="E563" s="3">
        <v>33</v>
      </c>
      <c r="F563" s="3">
        <v>1</v>
      </c>
      <c r="G563" s="3">
        <v>0</v>
      </c>
    </row>
    <row r="564" spans="1:7" x14ac:dyDescent="0.25">
      <c r="A564" t="s">
        <v>103</v>
      </c>
      <c r="B564" t="s">
        <v>8</v>
      </c>
      <c r="C564">
        <v>48</v>
      </c>
      <c r="D564">
        <v>48</v>
      </c>
      <c r="E564">
        <v>42</v>
      </c>
      <c r="F564">
        <v>6</v>
      </c>
      <c r="G564">
        <v>0</v>
      </c>
    </row>
    <row r="565" spans="1:7" x14ac:dyDescent="0.25">
      <c r="A565" s="3" t="s">
        <v>103</v>
      </c>
      <c r="B565" s="3" t="s">
        <v>8</v>
      </c>
      <c r="C565" s="3">
        <v>32</v>
      </c>
      <c r="D565" s="3">
        <v>31</v>
      </c>
      <c r="E565" s="3">
        <v>22</v>
      </c>
      <c r="F565" s="3">
        <v>9</v>
      </c>
      <c r="G565" s="3">
        <v>0</v>
      </c>
    </row>
    <row r="566" spans="1:7" x14ac:dyDescent="0.25">
      <c r="A566" t="s">
        <v>103</v>
      </c>
      <c r="B566" t="s">
        <v>9</v>
      </c>
      <c r="C566">
        <v>39</v>
      </c>
      <c r="D566">
        <v>39</v>
      </c>
      <c r="E566">
        <v>37</v>
      </c>
      <c r="F566">
        <v>2</v>
      </c>
      <c r="G566">
        <v>0</v>
      </c>
    </row>
    <row r="567" spans="1:7" x14ac:dyDescent="0.25">
      <c r="A567" s="3" t="s">
        <v>103</v>
      </c>
      <c r="B567" s="3" t="s">
        <v>9</v>
      </c>
      <c r="C567" s="3">
        <v>20</v>
      </c>
      <c r="D567" s="3">
        <v>20</v>
      </c>
      <c r="E567" s="3">
        <v>18</v>
      </c>
      <c r="F567" s="3">
        <v>2</v>
      </c>
      <c r="G567" s="3">
        <v>0</v>
      </c>
    </row>
    <row r="568" spans="1:7" x14ac:dyDescent="0.25">
      <c r="A568" t="s">
        <v>103</v>
      </c>
      <c r="B568" t="s">
        <v>10</v>
      </c>
      <c r="C568">
        <v>272</v>
      </c>
      <c r="D568">
        <v>271</v>
      </c>
      <c r="E568">
        <v>232</v>
      </c>
      <c r="F568">
        <v>39</v>
      </c>
      <c r="G568">
        <v>1</v>
      </c>
    </row>
    <row r="569" spans="1:7" x14ac:dyDescent="0.25">
      <c r="A569" s="3" t="s">
        <v>103</v>
      </c>
      <c r="B569" s="3" t="s">
        <v>10</v>
      </c>
      <c r="C569" s="3">
        <v>189</v>
      </c>
      <c r="D569" s="3">
        <v>189</v>
      </c>
      <c r="E569" s="3">
        <v>177</v>
      </c>
      <c r="F569" s="3">
        <v>12</v>
      </c>
      <c r="G569" s="3">
        <v>0</v>
      </c>
    </row>
    <row r="570" spans="1:7" x14ac:dyDescent="0.25">
      <c r="A570" t="s">
        <v>103</v>
      </c>
      <c r="B570" t="s">
        <v>177</v>
      </c>
      <c r="C570">
        <v>31</v>
      </c>
      <c r="D570">
        <v>28</v>
      </c>
      <c r="E570">
        <v>24</v>
      </c>
      <c r="F570">
        <v>4</v>
      </c>
      <c r="G570">
        <v>1</v>
      </c>
    </row>
    <row r="571" spans="1:7" x14ac:dyDescent="0.25">
      <c r="A571" s="3" t="s">
        <v>103</v>
      </c>
      <c r="B571" s="3" t="s">
        <v>177</v>
      </c>
      <c r="C571" s="3">
        <v>3</v>
      </c>
      <c r="D571" s="3">
        <v>2</v>
      </c>
      <c r="E571" s="3">
        <v>2</v>
      </c>
      <c r="F571" s="3">
        <v>0</v>
      </c>
      <c r="G571" s="3">
        <v>0</v>
      </c>
    </row>
    <row r="572" spans="1:7" x14ac:dyDescent="0.25">
      <c r="A572" t="s">
        <v>129</v>
      </c>
      <c r="B572" t="s">
        <v>2</v>
      </c>
      <c r="C572">
        <v>13</v>
      </c>
      <c r="D572">
        <v>13</v>
      </c>
      <c r="E572">
        <v>11</v>
      </c>
      <c r="F572">
        <v>2</v>
      </c>
      <c r="G572">
        <v>0</v>
      </c>
    </row>
    <row r="573" spans="1:7" x14ac:dyDescent="0.25">
      <c r="A573" s="3" t="s">
        <v>129</v>
      </c>
      <c r="B573" s="3" t="s">
        <v>2</v>
      </c>
      <c r="C573" s="3">
        <v>11</v>
      </c>
      <c r="D573" s="3">
        <v>11</v>
      </c>
      <c r="E573" s="3">
        <v>9</v>
      </c>
      <c r="F573" s="3">
        <v>2</v>
      </c>
      <c r="G573" s="3">
        <v>0</v>
      </c>
    </row>
    <row r="574" spans="1:7" x14ac:dyDescent="0.25">
      <c r="A574" t="s">
        <v>129</v>
      </c>
      <c r="B574" t="s">
        <v>4</v>
      </c>
      <c r="C574">
        <v>5</v>
      </c>
      <c r="D574">
        <v>0</v>
      </c>
      <c r="E574">
        <v>0</v>
      </c>
      <c r="F574">
        <v>0</v>
      </c>
      <c r="G574">
        <v>0</v>
      </c>
    </row>
    <row r="575" spans="1:7" x14ac:dyDescent="0.25">
      <c r="A575" t="s">
        <v>129</v>
      </c>
      <c r="B575" t="s">
        <v>5</v>
      </c>
      <c r="C575">
        <v>34</v>
      </c>
      <c r="D575">
        <v>34</v>
      </c>
      <c r="E575">
        <f>19+5</f>
        <v>24</v>
      </c>
      <c r="F575">
        <f>15-7+2</f>
        <v>10</v>
      </c>
      <c r="G575">
        <v>0</v>
      </c>
    </row>
    <row r="576" spans="1:7" x14ac:dyDescent="0.25">
      <c r="A576" s="3" t="s">
        <v>129</v>
      </c>
      <c r="B576" s="3" t="s">
        <v>5</v>
      </c>
      <c r="C576" s="3">
        <v>9</v>
      </c>
      <c r="D576" s="3">
        <v>8</v>
      </c>
      <c r="E576" s="3">
        <v>8</v>
      </c>
      <c r="F576" s="3">
        <v>0</v>
      </c>
      <c r="G576" s="3">
        <v>0</v>
      </c>
    </row>
    <row r="577" spans="1:7" x14ac:dyDescent="0.25">
      <c r="A577" t="s">
        <v>129</v>
      </c>
      <c r="B577" t="s">
        <v>185</v>
      </c>
      <c r="C577">
        <f>49+15</f>
        <v>64</v>
      </c>
      <c r="D577">
        <v>63</v>
      </c>
      <c r="E577">
        <f>43+13</f>
        <v>56</v>
      </c>
      <c r="F577">
        <f>21-17+3</f>
        <v>7</v>
      </c>
      <c r="G577">
        <v>0</v>
      </c>
    </row>
    <row r="578" spans="1:7" x14ac:dyDescent="0.25">
      <c r="A578" s="3" t="s">
        <v>129</v>
      </c>
      <c r="B578" s="3" t="s">
        <v>185</v>
      </c>
      <c r="C578" s="3">
        <v>40</v>
      </c>
      <c r="D578" s="3">
        <v>39</v>
      </c>
      <c r="E578" s="3">
        <v>28</v>
      </c>
      <c r="F578" s="3">
        <v>11</v>
      </c>
      <c r="G578" s="3">
        <v>0</v>
      </c>
    </row>
    <row r="579" spans="1:7" x14ac:dyDescent="0.25">
      <c r="A579" t="s">
        <v>129</v>
      </c>
      <c r="B579" t="s">
        <v>186</v>
      </c>
      <c r="C579">
        <f>108+5</f>
        <v>113</v>
      </c>
      <c r="D579">
        <f>104+5</f>
        <v>109</v>
      </c>
      <c r="E579">
        <f>57+30</f>
        <v>87</v>
      </c>
      <c r="F579">
        <f>52-38+8</f>
        <v>22</v>
      </c>
      <c r="G579">
        <v>0</v>
      </c>
    </row>
    <row r="580" spans="1:7" x14ac:dyDescent="0.25">
      <c r="A580" s="3" t="s">
        <v>129</v>
      </c>
      <c r="B580" s="3" t="s">
        <v>186</v>
      </c>
      <c r="C580" s="3">
        <v>71</v>
      </c>
      <c r="D580" s="3">
        <v>69</v>
      </c>
      <c r="E580" s="3">
        <v>49</v>
      </c>
      <c r="F580" s="3">
        <v>20</v>
      </c>
      <c r="G580" s="3">
        <v>0</v>
      </c>
    </row>
    <row r="581" spans="1:7" x14ac:dyDescent="0.25">
      <c r="A581" t="s">
        <v>129</v>
      </c>
      <c r="B581" t="s">
        <v>189</v>
      </c>
      <c r="C581">
        <v>1</v>
      </c>
      <c r="D581">
        <v>1</v>
      </c>
      <c r="E581">
        <v>1</v>
      </c>
      <c r="F581">
        <v>0</v>
      </c>
      <c r="G581">
        <v>0</v>
      </c>
    </row>
    <row r="582" spans="1:7" x14ac:dyDescent="0.25">
      <c r="A582" t="s">
        <v>129</v>
      </c>
      <c r="B582" t="s">
        <v>187</v>
      </c>
      <c r="C582">
        <f>439+2</f>
        <v>441</v>
      </c>
      <c r="D582">
        <f>434+2</f>
        <v>436</v>
      </c>
      <c r="E582">
        <f>292+27</f>
        <v>319</v>
      </c>
      <c r="F582">
        <f>144-32+5</f>
        <v>117</v>
      </c>
      <c r="G582">
        <v>0</v>
      </c>
    </row>
    <row r="583" spans="1:7" x14ac:dyDescent="0.25">
      <c r="A583" s="3" t="s">
        <v>129</v>
      </c>
      <c r="B583" s="3" t="s">
        <v>187</v>
      </c>
      <c r="C583" s="3">
        <v>74</v>
      </c>
      <c r="D583" s="3">
        <v>72</v>
      </c>
      <c r="E583" s="3">
        <v>51</v>
      </c>
      <c r="F583" s="3">
        <v>21</v>
      </c>
      <c r="G583" s="3">
        <v>1</v>
      </c>
    </row>
    <row r="584" spans="1:7" x14ac:dyDescent="0.25">
      <c r="A584" t="s">
        <v>129</v>
      </c>
      <c r="B584" t="s">
        <v>6</v>
      </c>
      <c r="C584">
        <v>79</v>
      </c>
      <c r="D584">
        <v>79</v>
      </c>
      <c r="E584">
        <v>79</v>
      </c>
      <c r="F584">
        <v>0</v>
      </c>
      <c r="G584">
        <v>0</v>
      </c>
    </row>
    <row r="585" spans="1:7" x14ac:dyDescent="0.25">
      <c r="A585" s="3" t="s">
        <v>129</v>
      </c>
      <c r="B585" s="3" t="s">
        <v>6</v>
      </c>
      <c r="C585" s="3">
        <v>34</v>
      </c>
      <c r="D585" s="3">
        <v>34</v>
      </c>
      <c r="E585" s="3">
        <v>34</v>
      </c>
      <c r="F585" s="3">
        <v>0</v>
      </c>
      <c r="G585" s="3">
        <v>0</v>
      </c>
    </row>
    <row r="586" spans="1:7" x14ac:dyDescent="0.25">
      <c r="A586" t="s">
        <v>129</v>
      </c>
      <c r="B586" t="s">
        <v>7</v>
      </c>
      <c r="C586">
        <v>27</v>
      </c>
      <c r="D586">
        <v>25</v>
      </c>
      <c r="E586">
        <v>18</v>
      </c>
      <c r="F586">
        <v>7</v>
      </c>
      <c r="G586">
        <v>0</v>
      </c>
    </row>
    <row r="587" spans="1:7" x14ac:dyDescent="0.25">
      <c r="A587" s="3" t="s">
        <v>129</v>
      </c>
      <c r="B587" s="3" t="s">
        <v>7</v>
      </c>
      <c r="C587" s="3">
        <v>12</v>
      </c>
      <c r="D587" s="3">
        <v>11</v>
      </c>
      <c r="E587" s="3">
        <v>7</v>
      </c>
      <c r="F587" s="3">
        <v>4</v>
      </c>
      <c r="G587" s="3">
        <v>0</v>
      </c>
    </row>
    <row r="588" spans="1:7" x14ac:dyDescent="0.25">
      <c r="A588" t="s">
        <v>129</v>
      </c>
      <c r="B588" t="s">
        <v>8</v>
      </c>
      <c r="C588">
        <v>24</v>
      </c>
      <c r="D588">
        <v>23</v>
      </c>
      <c r="E588">
        <v>15</v>
      </c>
      <c r="F588">
        <v>8</v>
      </c>
      <c r="G588">
        <v>0</v>
      </c>
    </row>
    <row r="589" spans="1:7" x14ac:dyDescent="0.25">
      <c r="A589" s="3" t="s">
        <v>129</v>
      </c>
      <c r="B589" s="3" t="s">
        <v>8</v>
      </c>
      <c r="C589" s="3">
        <v>20</v>
      </c>
      <c r="D589" s="3">
        <v>19</v>
      </c>
      <c r="E589" s="3">
        <v>11</v>
      </c>
      <c r="F589" s="3">
        <v>8</v>
      </c>
      <c r="G589" s="3">
        <v>0</v>
      </c>
    </row>
    <row r="590" spans="1:7" x14ac:dyDescent="0.25">
      <c r="A590" t="s">
        <v>129</v>
      </c>
      <c r="B590" t="s">
        <v>9</v>
      </c>
      <c r="C590">
        <v>13</v>
      </c>
      <c r="D590">
        <v>13</v>
      </c>
      <c r="E590">
        <v>13</v>
      </c>
      <c r="F590">
        <v>0</v>
      </c>
      <c r="G590">
        <v>0</v>
      </c>
    </row>
    <row r="591" spans="1:7" x14ac:dyDescent="0.25">
      <c r="A591" s="3" t="s">
        <v>129</v>
      </c>
      <c r="B591" s="3" t="s">
        <v>9</v>
      </c>
      <c r="C591" s="3">
        <v>4</v>
      </c>
      <c r="D591" s="3">
        <v>4</v>
      </c>
      <c r="E591" s="3">
        <v>4</v>
      </c>
      <c r="F591" s="3">
        <v>0</v>
      </c>
      <c r="G591" s="3">
        <v>0</v>
      </c>
    </row>
    <row r="592" spans="1:7" x14ac:dyDescent="0.25">
      <c r="A592" t="s">
        <v>129</v>
      </c>
      <c r="B592" t="s">
        <v>10</v>
      </c>
      <c r="C592">
        <v>223</v>
      </c>
      <c r="D592">
        <v>222</v>
      </c>
      <c r="E592">
        <v>212</v>
      </c>
      <c r="F592">
        <v>10</v>
      </c>
      <c r="G592">
        <v>0</v>
      </c>
    </row>
    <row r="593" spans="1:7" x14ac:dyDescent="0.25">
      <c r="A593" s="3" t="s">
        <v>129</v>
      </c>
      <c r="B593" s="3" t="s">
        <v>10</v>
      </c>
      <c r="C593" s="3">
        <v>82</v>
      </c>
      <c r="D593" s="3">
        <v>82</v>
      </c>
      <c r="E593" s="3">
        <v>63</v>
      </c>
      <c r="F593" s="3">
        <v>19</v>
      </c>
      <c r="G593" s="3">
        <v>0</v>
      </c>
    </row>
    <row r="594" spans="1:7" x14ac:dyDescent="0.25">
      <c r="A594" t="s">
        <v>129</v>
      </c>
      <c r="B594" t="s">
        <v>177</v>
      </c>
      <c r="C594">
        <v>31</v>
      </c>
      <c r="D594">
        <v>23</v>
      </c>
      <c r="E594">
        <v>23</v>
      </c>
      <c r="F594">
        <v>0</v>
      </c>
      <c r="G594">
        <v>0</v>
      </c>
    </row>
    <row r="595" spans="1:7" x14ac:dyDescent="0.25">
      <c r="A595" s="3" t="s">
        <v>129</v>
      </c>
      <c r="B595" s="3" t="s">
        <v>177</v>
      </c>
      <c r="C595" s="3">
        <v>8</v>
      </c>
      <c r="D595" s="3">
        <v>5</v>
      </c>
      <c r="E595" s="3">
        <v>4</v>
      </c>
      <c r="F595" s="3">
        <v>1</v>
      </c>
      <c r="G595" s="3">
        <v>0</v>
      </c>
    </row>
    <row r="596" spans="1:7" x14ac:dyDescent="0.25">
      <c r="A596" t="s">
        <v>100</v>
      </c>
      <c r="B596" t="s">
        <v>2</v>
      </c>
      <c r="C596">
        <v>17</v>
      </c>
      <c r="D596">
        <v>14</v>
      </c>
      <c r="E596">
        <v>14</v>
      </c>
      <c r="F596">
        <v>0</v>
      </c>
      <c r="G596">
        <v>0</v>
      </c>
    </row>
    <row r="597" spans="1:7" x14ac:dyDescent="0.25">
      <c r="A597" s="3" t="s">
        <v>100</v>
      </c>
      <c r="B597" s="3" t="s">
        <v>2</v>
      </c>
      <c r="C597" s="3">
        <v>9</v>
      </c>
      <c r="D597" s="3">
        <v>9</v>
      </c>
      <c r="E597" s="3">
        <v>7</v>
      </c>
      <c r="F597" s="3">
        <v>2</v>
      </c>
      <c r="G597" s="3">
        <v>0</v>
      </c>
    </row>
    <row r="598" spans="1:7" x14ac:dyDescent="0.25">
      <c r="A598" t="s">
        <v>100</v>
      </c>
      <c r="B598" t="s">
        <v>4</v>
      </c>
      <c r="C598">
        <v>3</v>
      </c>
      <c r="D598">
        <v>0</v>
      </c>
      <c r="E598">
        <v>0</v>
      </c>
      <c r="F598">
        <v>0</v>
      </c>
      <c r="G598">
        <v>0</v>
      </c>
    </row>
    <row r="599" spans="1:7" x14ac:dyDescent="0.25">
      <c r="A599" s="3" t="s">
        <v>100</v>
      </c>
      <c r="B599" s="3" t="s">
        <v>4</v>
      </c>
      <c r="C599" s="3">
        <v>1</v>
      </c>
      <c r="D599" s="3">
        <v>0</v>
      </c>
      <c r="E599" s="3">
        <v>0</v>
      </c>
      <c r="F599" s="3">
        <v>0</v>
      </c>
      <c r="G599" s="3">
        <v>0</v>
      </c>
    </row>
    <row r="600" spans="1:7" x14ac:dyDescent="0.25">
      <c r="A600" t="s">
        <v>100</v>
      </c>
      <c r="B600" t="s">
        <v>5</v>
      </c>
      <c r="C600">
        <v>41</v>
      </c>
      <c r="D600">
        <v>41</v>
      </c>
      <c r="E600">
        <f>34+4</f>
        <v>38</v>
      </c>
      <c r="F600">
        <v>3</v>
      </c>
      <c r="G600">
        <v>0</v>
      </c>
    </row>
    <row r="601" spans="1:7" x14ac:dyDescent="0.25">
      <c r="A601" s="3" t="s">
        <v>100</v>
      </c>
      <c r="B601" s="3" t="s">
        <v>5</v>
      </c>
      <c r="C601" s="3">
        <v>34</v>
      </c>
      <c r="D601" s="3">
        <v>32</v>
      </c>
      <c r="E601" s="3">
        <v>30</v>
      </c>
      <c r="F601" s="3">
        <v>2</v>
      </c>
      <c r="G601" s="3">
        <v>0</v>
      </c>
    </row>
    <row r="602" spans="1:7" x14ac:dyDescent="0.25">
      <c r="A602" t="s">
        <v>100</v>
      </c>
      <c r="B602" t="s">
        <v>185</v>
      </c>
      <c r="C602">
        <f>89+2</f>
        <v>91</v>
      </c>
      <c r="D602">
        <f>89+2</f>
        <v>91</v>
      </c>
      <c r="E602">
        <f>74+2</f>
        <v>76</v>
      </c>
      <c r="F602">
        <v>15</v>
      </c>
      <c r="G602">
        <v>0</v>
      </c>
    </row>
    <row r="603" spans="1:7" x14ac:dyDescent="0.25">
      <c r="A603" s="3" t="s">
        <v>100</v>
      </c>
      <c r="B603" s="3" t="s">
        <v>185</v>
      </c>
      <c r="C603" s="3">
        <v>69</v>
      </c>
      <c r="D603" s="3">
        <v>67</v>
      </c>
      <c r="E603" s="3">
        <f>52+9</f>
        <v>61</v>
      </c>
      <c r="F603" s="3">
        <f>15-11+2</f>
        <v>6</v>
      </c>
      <c r="G603" s="3">
        <v>1</v>
      </c>
    </row>
    <row r="604" spans="1:7" x14ac:dyDescent="0.25">
      <c r="A604" t="s">
        <v>100</v>
      </c>
      <c r="B604" t="s">
        <v>186</v>
      </c>
      <c r="C604">
        <f>169+14</f>
        <v>183</v>
      </c>
      <c r="D604">
        <v>179</v>
      </c>
      <c r="E604">
        <f>97+61</f>
        <v>158</v>
      </c>
      <c r="F604">
        <f>84-81+18</f>
        <v>21</v>
      </c>
      <c r="G604">
        <f>1+1</f>
        <v>2</v>
      </c>
    </row>
    <row r="605" spans="1:7" x14ac:dyDescent="0.25">
      <c r="A605" s="3" t="s">
        <v>100</v>
      </c>
      <c r="B605" s="3" t="s">
        <v>186</v>
      </c>
      <c r="C605" s="3">
        <v>145</v>
      </c>
      <c r="D605" s="3">
        <v>138</v>
      </c>
      <c r="E605" s="3">
        <v>102</v>
      </c>
      <c r="F605" s="3">
        <v>36</v>
      </c>
      <c r="G605" s="3">
        <v>1</v>
      </c>
    </row>
    <row r="606" spans="1:7" x14ac:dyDescent="0.25">
      <c r="A606" t="s">
        <v>100</v>
      </c>
      <c r="B606" t="s">
        <v>187</v>
      </c>
      <c r="C606">
        <v>178</v>
      </c>
      <c r="D606">
        <v>175</v>
      </c>
      <c r="E606">
        <f>128+31</f>
        <v>159</v>
      </c>
      <c r="F606">
        <f>47-33+2</f>
        <v>16</v>
      </c>
      <c r="G606">
        <v>2</v>
      </c>
    </row>
    <row r="607" spans="1:7" x14ac:dyDescent="0.25">
      <c r="A607" s="3" t="s">
        <v>100</v>
      </c>
      <c r="B607" s="3" t="s">
        <v>187</v>
      </c>
      <c r="C607" s="3">
        <v>94</v>
      </c>
      <c r="D607" s="3">
        <v>94</v>
      </c>
      <c r="E607" s="3">
        <v>74</v>
      </c>
      <c r="F607" s="3">
        <v>20</v>
      </c>
      <c r="G607" s="3">
        <v>0</v>
      </c>
    </row>
    <row r="608" spans="1:7" x14ac:dyDescent="0.25">
      <c r="A608" t="s">
        <v>100</v>
      </c>
      <c r="B608" t="s">
        <v>6</v>
      </c>
      <c r="C608">
        <v>33</v>
      </c>
      <c r="D608">
        <v>30</v>
      </c>
      <c r="E608">
        <v>30</v>
      </c>
      <c r="F608">
        <v>0</v>
      </c>
      <c r="G608">
        <v>0</v>
      </c>
    </row>
    <row r="609" spans="1:7" x14ac:dyDescent="0.25">
      <c r="A609" s="3" t="s">
        <v>100</v>
      </c>
      <c r="B609" s="3" t="s">
        <v>6</v>
      </c>
      <c r="C609" s="3">
        <v>34</v>
      </c>
      <c r="D609" s="3">
        <v>28</v>
      </c>
      <c r="E609" s="3">
        <v>27</v>
      </c>
      <c r="F609" s="3">
        <v>1</v>
      </c>
      <c r="G609" s="3">
        <v>0</v>
      </c>
    </row>
    <row r="610" spans="1:7" x14ac:dyDescent="0.25">
      <c r="A610" s="3" t="s">
        <v>100</v>
      </c>
      <c r="B610" s="3" t="s">
        <v>7</v>
      </c>
      <c r="C610" s="3">
        <v>16</v>
      </c>
      <c r="D610" s="3">
        <v>14</v>
      </c>
      <c r="E610" s="3">
        <v>9</v>
      </c>
      <c r="F610" s="3">
        <v>5</v>
      </c>
      <c r="G610" s="3">
        <v>0</v>
      </c>
    </row>
    <row r="611" spans="1:7" x14ac:dyDescent="0.25">
      <c r="A611" t="s">
        <v>100</v>
      </c>
      <c r="B611" t="s">
        <v>8</v>
      </c>
      <c r="C611">
        <v>43</v>
      </c>
      <c r="D611">
        <v>43</v>
      </c>
      <c r="E611">
        <v>43</v>
      </c>
      <c r="F611">
        <v>0</v>
      </c>
      <c r="G611">
        <v>0</v>
      </c>
    </row>
    <row r="612" spans="1:7" x14ac:dyDescent="0.25">
      <c r="A612" s="3" t="s">
        <v>100</v>
      </c>
      <c r="B612" s="3" t="s">
        <v>8</v>
      </c>
      <c r="C612" s="3">
        <v>23</v>
      </c>
      <c r="D612" s="3">
        <v>23</v>
      </c>
      <c r="E612" s="3">
        <v>23</v>
      </c>
      <c r="F612" s="3">
        <v>0</v>
      </c>
      <c r="G612" s="3">
        <v>0</v>
      </c>
    </row>
    <row r="613" spans="1:7" x14ac:dyDescent="0.25">
      <c r="A613" t="s">
        <v>100</v>
      </c>
      <c r="B613" t="s">
        <v>9</v>
      </c>
      <c r="C613">
        <v>20</v>
      </c>
      <c r="D613">
        <v>20</v>
      </c>
      <c r="E613">
        <v>20</v>
      </c>
      <c r="F613">
        <v>0</v>
      </c>
      <c r="G613">
        <v>0</v>
      </c>
    </row>
    <row r="614" spans="1:7" x14ac:dyDescent="0.25">
      <c r="A614" s="3" t="s">
        <v>100</v>
      </c>
      <c r="B614" s="3" t="s">
        <v>9</v>
      </c>
      <c r="C614" s="3">
        <v>8</v>
      </c>
      <c r="D614" s="3">
        <v>7</v>
      </c>
      <c r="E614" s="3">
        <v>7</v>
      </c>
      <c r="F614" s="3">
        <v>0</v>
      </c>
      <c r="G614" s="3">
        <v>0</v>
      </c>
    </row>
    <row r="615" spans="1:7" x14ac:dyDescent="0.25">
      <c r="A615" t="s">
        <v>100</v>
      </c>
      <c r="B615" t="s">
        <v>10</v>
      </c>
      <c r="C615">
        <v>235</v>
      </c>
      <c r="D615">
        <v>234</v>
      </c>
      <c r="E615">
        <v>217</v>
      </c>
      <c r="F615">
        <v>17</v>
      </c>
      <c r="G615">
        <v>1</v>
      </c>
    </row>
    <row r="616" spans="1:7" x14ac:dyDescent="0.25">
      <c r="A616" s="3" t="s">
        <v>100</v>
      </c>
      <c r="B616" s="3" t="s">
        <v>10</v>
      </c>
      <c r="C616" s="3">
        <v>121</v>
      </c>
      <c r="D616" s="3">
        <v>120</v>
      </c>
      <c r="E616" s="3">
        <v>95</v>
      </c>
      <c r="F616" s="3">
        <v>25</v>
      </c>
      <c r="G616" s="3">
        <v>0</v>
      </c>
    </row>
    <row r="617" spans="1:7" x14ac:dyDescent="0.25">
      <c r="A617" s="3" t="s">
        <v>100</v>
      </c>
      <c r="B617" s="3" t="s">
        <v>177</v>
      </c>
      <c r="C617" s="3">
        <v>2</v>
      </c>
      <c r="D617" s="3">
        <v>2</v>
      </c>
      <c r="E617" s="3">
        <v>2</v>
      </c>
      <c r="F617" s="3">
        <v>0</v>
      </c>
      <c r="G617" s="3">
        <v>0</v>
      </c>
    </row>
    <row r="618" spans="1:7" x14ac:dyDescent="0.25">
      <c r="A618" t="s">
        <v>61</v>
      </c>
      <c r="B618" t="s">
        <v>2</v>
      </c>
      <c r="C618">
        <v>28</v>
      </c>
      <c r="D618">
        <v>23</v>
      </c>
      <c r="E618">
        <f>18+1</f>
        <v>19</v>
      </c>
      <c r="F618">
        <f>6-5+3</f>
        <v>4</v>
      </c>
      <c r="G618">
        <v>0</v>
      </c>
    </row>
    <row r="619" spans="1:7" x14ac:dyDescent="0.25">
      <c r="A619" s="3" t="s">
        <v>61</v>
      </c>
      <c r="B619" s="3" t="s">
        <v>2</v>
      </c>
      <c r="C619" s="3">
        <v>20</v>
      </c>
      <c r="D619" s="3">
        <v>17</v>
      </c>
      <c r="E619" s="3">
        <v>17</v>
      </c>
      <c r="F619" s="3">
        <v>0</v>
      </c>
      <c r="G619" s="3">
        <v>0</v>
      </c>
    </row>
    <row r="620" spans="1:7" x14ac:dyDescent="0.25">
      <c r="A620" t="s">
        <v>61</v>
      </c>
      <c r="B620" t="s">
        <v>4</v>
      </c>
      <c r="C620">
        <v>6</v>
      </c>
      <c r="D620">
        <v>0</v>
      </c>
      <c r="E620">
        <v>0</v>
      </c>
      <c r="F620">
        <v>0</v>
      </c>
      <c r="G620">
        <v>0</v>
      </c>
    </row>
    <row r="621" spans="1:7" x14ac:dyDescent="0.25">
      <c r="A621" s="3" t="s">
        <v>61</v>
      </c>
      <c r="B621" s="3" t="s">
        <v>4</v>
      </c>
      <c r="C621" s="3">
        <v>3</v>
      </c>
      <c r="D621" s="3">
        <v>0</v>
      </c>
      <c r="E621" s="3">
        <v>0</v>
      </c>
      <c r="F621" s="3">
        <v>0</v>
      </c>
      <c r="G621" s="3">
        <v>0</v>
      </c>
    </row>
    <row r="622" spans="1:7" x14ac:dyDescent="0.25">
      <c r="A622" t="s">
        <v>61</v>
      </c>
      <c r="B622" t="s">
        <v>5</v>
      </c>
      <c r="C622">
        <v>237</v>
      </c>
      <c r="D622">
        <v>236</v>
      </c>
      <c r="E622">
        <f>151+74</f>
        <v>225</v>
      </c>
      <c r="F622">
        <f>85-79+5</f>
        <v>11</v>
      </c>
      <c r="G622">
        <v>1</v>
      </c>
    </row>
    <row r="623" spans="1:7" x14ac:dyDescent="0.25">
      <c r="A623" s="3" t="s">
        <v>61</v>
      </c>
      <c r="B623" s="3" t="s">
        <v>5</v>
      </c>
      <c r="C623" s="3">
        <v>161</v>
      </c>
      <c r="D623" s="3">
        <v>159</v>
      </c>
      <c r="E623" s="3">
        <v>144</v>
      </c>
      <c r="F623" s="3">
        <v>15</v>
      </c>
      <c r="G623" s="3">
        <v>1</v>
      </c>
    </row>
    <row r="624" spans="1:7" x14ac:dyDescent="0.25">
      <c r="A624" t="s">
        <v>61</v>
      </c>
      <c r="B624" t="s">
        <v>185</v>
      </c>
      <c r="C624">
        <f>180+19</f>
        <v>199</v>
      </c>
      <c r="D624">
        <f>180+19</f>
        <v>199</v>
      </c>
      <c r="E624">
        <f>114+74</f>
        <v>188</v>
      </c>
      <c r="F624">
        <f>85-79+5</f>
        <v>11</v>
      </c>
      <c r="G624">
        <v>0</v>
      </c>
    </row>
    <row r="625" spans="1:7" x14ac:dyDescent="0.25">
      <c r="A625" s="3" t="s">
        <v>61</v>
      </c>
      <c r="B625" s="3" t="s">
        <v>185</v>
      </c>
      <c r="C625" s="3">
        <v>197</v>
      </c>
      <c r="D625" s="3">
        <v>195</v>
      </c>
      <c r="E625" s="3">
        <v>160</v>
      </c>
      <c r="F625" s="3">
        <v>35</v>
      </c>
      <c r="G625" s="3">
        <v>0</v>
      </c>
    </row>
    <row r="626" spans="1:7" x14ac:dyDescent="0.25">
      <c r="A626" t="s">
        <v>61</v>
      </c>
      <c r="B626" t="s">
        <v>186</v>
      </c>
      <c r="C626">
        <f>360+24</f>
        <v>384</v>
      </c>
      <c r="D626">
        <v>371</v>
      </c>
      <c r="E626">
        <f>182+127</f>
        <v>309</v>
      </c>
      <c r="F626">
        <f>196-160+26</f>
        <v>62</v>
      </c>
      <c r="G626">
        <v>2</v>
      </c>
    </row>
    <row r="627" spans="1:7" x14ac:dyDescent="0.25">
      <c r="A627" s="3" t="s">
        <v>61</v>
      </c>
      <c r="B627" s="3" t="s">
        <v>186</v>
      </c>
      <c r="C627" s="3">
        <v>320</v>
      </c>
      <c r="D627" s="3">
        <v>315</v>
      </c>
      <c r="E627" s="3">
        <v>251</v>
      </c>
      <c r="F627" s="3">
        <v>64</v>
      </c>
      <c r="G627" s="3">
        <v>1</v>
      </c>
    </row>
    <row r="628" spans="1:7" x14ac:dyDescent="0.25">
      <c r="A628" t="s">
        <v>61</v>
      </c>
      <c r="B628" t="s">
        <v>189</v>
      </c>
      <c r="C628">
        <v>1</v>
      </c>
      <c r="D628">
        <v>1</v>
      </c>
      <c r="E628">
        <v>1</v>
      </c>
      <c r="F628">
        <v>0</v>
      </c>
      <c r="G628">
        <v>0</v>
      </c>
    </row>
    <row r="629" spans="1:7" x14ac:dyDescent="0.25">
      <c r="A629" t="s">
        <v>61</v>
      </c>
      <c r="B629" t="s">
        <v>187</v>
      </c>
      <c r="C629">
        <f>258+2</f>
        <v>260</v>
      </c>
      <c r="D629">
        <v>256</v>
      </c>
      <c r="E629">
        <f>145+89</f>
        <v>234</v>
      </c>
      <c r="F629">
        <f>113-98+7</f>
        <v>22</v>
      </c>
      <c r="G629">
        <f>1+2</f>
        <v>3</v>
      </c>
    </row>
    <row r="630" spans="1:7" x14ac:dyDescent="0.25">
      <c r="A630" s="3" t="s">
        <v>61</v>
      </c>
      <c r="B630" s="3" t="s">
        <v>187</v>
      </c>
      <c r="C630" s="3">
        <v>191</v>
      </c>
      <c r="D630" s="3">
        <v>188</v>
      </c>
      <c r="E630" s="3">
        <v>145</v>
      </c>
      <c r="F630" s="3">
        <v>43</v>
      </c>
      <c r="G630" s="3">
        <v>1</v>
      </c>
    </row>
    <row r="631" spans="1:7" x14ac:dyDescent="0.25">
      <c r="A631" t="s">
        <v>61</v>
      </c>
      <c r="B631" t="s">
        <v>6</v>
      </c>
      <c r="C631">
        <v>96</v>
      </c>
      <c r="D631">
        <v>95</v>
      </c>
      <c r="E631">
        <v>95</v>
      </c>
      <c r="F631">
        <v>0</v>
      </c>
      <c r="G631">
        <v>1</v>
      </c>
    </row>
    <row r="632" spans="1:7" x14ac:dyDescent="0.25">
      <c r="A632" s="3" t="s">
        <v>61</v>
      </c>
      <c r="B632" s="3" t="s">
        <v>6</v>
      </c>
      <c r="C632" s="3">
        <v>61</v>
      </c>
      <c r="D632" s="3">
        <v>61</v>
      </c>
      <c r="E632" s="3">
        <v>61</v>
      </c>
      <c r="F632" s="3">
        <v>0</v>
      </c>
      <c r="G632" s="3">
        <v>0</v>
      </c>
    </row>
    <row r="633" spans="1:7" x14ac:dyDescent="0.25">
      <c r="A633" t="s">
        <v>61</v>
      </c>
      <c r="B633" t="s">
        <v>8</v>
      </c>
      <c r="C633">
        <v>180</v>
      </c>
      <c r="D633">
        <v>179</v>
      </c>
      <c r="E633">
        <v>165</v>
      </c>
      <c r="F633">
        <v>14</v>
      </c>
      <c r="G633">
        <v>0</v>
      </c>
    </row>
    <row r="634" spans="1:7" x14ac:dyDescent="0.25">
      <c r="A634" s="3" t="s">
        <v>61</v>
      </c>
      <c r="B634" s="3" t="s">
        <v>8</v>
      </c>
      <c r="C634" s="3">
        <v>91</v>
      </c>
      <c r="D634" s="3">
        <v>91</v>
      </c>
      <c r="E634" s="3">
        <v>67</v>
      </c>
      <c r="F634" s="3">
        <v>24</v>
      </c>
      <c r="G634" s="3">
        <v>0</v>
      </c>
    </row>
    <row r="635" spans="1:7" x14ac:dyDescent="0.25">
      <c r="A635" t="s">
        <v>61</v>
      </c>
      <c r="B635" t="s">
        <v>9</v>
      </c>
      <c r="C635">
        <v>103</v>
      </c>
      <c r="D635">
        <v>103</v>
      </c>
      <c r="E635">
        <v>103</v>
      </c>
      <c r="F635">
        <v>0</v>
      </c>
      <c r="G635">
        <v>0</v>
      </c>
    </row>
    <row r="636" spans="1:7" x14ac:dyDescent="0.25">
      <c r="A636" s="3" t="s">
        <v>61</v>
      </c>
      <c r="B636" s="3" t="s">
        <v>9</v>
      </c>
      <c r="C636" s="3">
        <v>29</v>
      </c>
      <c r="D636" s="3">
        <v>29</v>
      </c>
      <c r="E636" s="3">
        <v>29</v>
      </c>
      <c r="F636" s="3">
        <v>0</v>
      </c>
      <c r="G636" s="3">
        <v>0</v>
      </c>
    </row>
    <row r="637" spans="1:7" x14ac:dyDescent="0.25">
      <c r="A637" t="s">
        <v>61</v>
      </c>
      <c r="B637" t="s">
        <v>10</v>
      </c>
      <c r="C637">
        <v>384</v>
      </c>
      <c r="D637">
        <v>384</v>
      </c>
      <c r="E637">
        <v>354</v>
      </c>
      <c r="F637">
        <v>30</v>
      </c>
      <c r="G637">
        <v>0</v>
      </c>
    </row>
    <row r="638" spans="1:7" x14ac:dyDescent="0.25">
      <c r="A638" s="3" t="s">
        <v>61</v>
      </c>
      <c r="B638" s="3" t="s">
        <v>10</v>
      </c>
      <c r="C638" s="3">
        <v>237</v>
      </c>
      <c r="D638" s="3">
        <v>237</v>
      </c>
      <c r="E638" s="3">
        <v>195</v>
      </c>
      <c r="F638" s="3">
        <v>42</v>
      </c>
      <c r="G638" s="3">
        <v>0</v>
      </c>
    </row>
    <row r="639" spans="1:7" x14ac:dyDescent="0.25">
      <c r="A639" t="s">
        <v>61</v>
      </c>
      <c r="B639" t="s">
        <v>177</v>
      </c>
      <c r="C639">
        <v>188</v>
      </c>
      <c r="D639">
        <v>187</v>
      </c>
      <c r="E639">
        <v>176</v>
      </c>
      <c r="F639">
        <v>11</v>
      </c>
      <c r="G639">
        <v>0</v>
      </c>
    </row>
    <row r="640" spans="1:7" x14ac:dyDescent="0.25">
      <c r="A640" s="3" t="s">
        <v>61</v>
      </c>
      <c r="B640" s="3" t="s">
        <v>177</v>
      </c>
      <c r="C640" s="3">
        <v>110</v>
      </c>
      <c r="D640" s="3">
        <v>110</v>
      </c>
      <c r="E640" s="3">
        <v>109</v>
      </c>
      <c r="F640" s="3">
        <v>1</v>
      </c>
      <c r="G640" s="3">
        <v>0</v>
      </c>
    </row>
    <row r="647" spans="1:7" x14ac:dyDescent="0.25">
      <c r="A647" s="5" t="s">
        <v>12</v>
      </c>
      <c r="B647" s="5" t="s">
        <v>0</v>
      </c>
      <c r="C647" s="5" t="s">
        <v>13</v>
      </c>
      <c r="D647" s="5" t="s">
        <v>14</v>
      </c>
      <c r="E647" s="5" t="s">
        <v>15</v>
      </c>
      <c r="F647" s="5" t="s">
        <v>16</v>
      </c>
      <c r="G647" s="5" t="s">
        <v>17</v>
      </c>
    </row>
    <row r="648" spans="1:7" x14ac:dyDescent="0.25">
      <c r="A648" s="2" t="s">
        <v>190</v>
      </c>
      <c r="B648" s="2" t="s">
        <v>3</v>
      </c>
      <c r="C648" s="2">
        <v>41</v>
      </c>
      <c r="D648" s="2">
        <v>33</v>
      </c>
      <c r="E648" s="2">
        <v>28</v>
      </c>
      <c r="F648" s="2">
        <v>5</v>
      </c>
      <c r="G648" s="2">
        <v>1</v>
      </c>
    </row>
    <row r="649" spans="1:7" x14ac:dyDescent="0.25">
      <c r="A649" s="2" t="s">
        <v>190</v>
      </c>
      <c r="B649" s="2" t="s">
        <v>11</v>
      </c>
      <c r="C649" s="2">
        <v>92</v>
      </c>
      <c r="D649" s="2">
        <v>79</v>
      </c>
      <c r="E649" s="2">
        <v>41</v>
      </c>
      <c r="F649" s="2">
        <v>38</v>
      </c>
      <c r="G649" s="2">
        <v>0</v>
      </c>
    </row>
    <row r="650" spans="1:7" x14ac:dyDescent="0.25">
      <c r="A650" s="2" t="s">
        <v>190</v>
      </c>
      <c r="B650" s="2" t="s">
        <v>174</v>
      </c>
      <c r="C650" s="2">
        <v>161</v>
      </c>
      <c r="D650" s="2">
        <v>146</v>
      </c>
      <c r="E650" s="2">
        <v>97</v>
      </c>
      <c r="F650" s="2">
        <v>49</v>
      </c>
      <c r="G650" s="2">
        <v>0</v>
      </c>
    </row>
    <row r="651" spans="1:7" x14ac:dyDescent="0.25">
      <c r="A651" s="2" t="s">
        <v>190</v>
      </c>
      <c r="B651" s="2" t="s">
        <v>175</v>
      </c>
      <c r="C651" s="2">
        <v>606</v>
      </c>
      <c r="D651" s="2">
        <v>525</v>
      </c>
      <c r="E651" s="2">
        <v>269</v>
      </c>
      <c r="F651" s="2">
        <v>256</v>
      </c>
      <c r="G651" s="2">
        <v>2</v>
      </c>
    </row>
    <row r="652" spans="1:7" x14ac:dyDescent="0.25">
      <c r="A652" s="2" t="s">
        <v>190</v>
      </c>
      <c r="B652" s="2" t="s">
        <v>182</v>
      </c>
      <c r="C652" s="2">
        <v>1</v>
      </c>
      <c r="D652" s="2">
        <v>1</v>
      </c>
      <c r="E652" s="2">
        <v>1</v>
      </c>
      <c r="F652" s="2">
        <v>0</v>
      </c>
      <c r="G652" s="2">
        <v>0</v>
      </c>
    </row>
    <row r="653" spans="1:7" x14ac:dyDescent="0.25">
      <c r="A653" s="2" t="s">
        <v>190</v>
      </c>
      <c r="B653" s="2" t="s">
        <v>176</v>
      </c>
      <c r="C653" s="2">
        <v>151</v>
      </c>
      <c r="D653" s="2">
        <v>135</v>
      </c>
      <c r="E653" s="2">
        <v>86</v>
      </c>
      <c r="F653" s="2">
        <v>49</v>
      </c>
      <c r="G653" s="2">
        <v>0</v>
      </c>
    </row>
    <row r="654" spans="1:7" x14ac:dyDescent="0.25">
      <c r="A654" s="2" t="s">
        <v>72</v>
      </c>
      <c r="B654" s="2" t="s">
        <v>3</v>
      </c>
      <c r="C654" s="2">
        <v>1</v>
      </c>
      <c r="D654" s="2">
        <v>1</v>
      </c>
      <c r="E654" s="2">
        <v>1</v>
      </c>
      <c r="F654" s="2">
        <v>0</v>
      </c>
      <c r="G654" s="2">
        <v>0</v>
      </c>
    </row>
    <row r="655" spans="1:7" x14ac:dyDescent="0.25">
      <c r="A655" s="2" t="s">
        <v>72</v>
      </c>
      <c r="B655" s="2" t="s">
        <v>11</v>
      </c>
      <c r="C655" s="2">
        <v>22</v>
      </c>
      <c r="D655" s="2">
        <v>22</v>
      </c>
      <c r="E655" s="2">
        <v>19</v>
      </c>
      <c r="F655" s="2">
        <v>3</v>
      </c>
      <c r="G655" s="2">
        <v>0</v>
      </c>
    </row>
    <row r="656" spans="1:7" x14ac:dyDescent="0.25">
      <c r="A656" s="2" t="s">
        <v>72</v>
      </c>
      <c r="B656" s="2" t="s">
        <v>174</v>
      </c>
      <c r="C656" s="2">
        <v>56</v>
      </c>
      <c r="D656" s="2">
        <v>55</v>
      </c>
      <c r="E656" s="2">
        <v>41</v>
      </c>
      <c r="F656" s="2">
        <v>14</v>
      </c>
      <c r="G656" s="2">
        <v>0</v>
      </c>
    </row>
    <row r="657" spans="1:7" x14ac:dyDescent="0.25">
      <c r="A657" s="2" t="s">
        <v>72</v>
      </c>
      <c r="B657" s="2" t="s">
        <v>175</v>
      </c>
      <c r="C657" s="2">
        <v>32</v>
      </c>
      <c r="D657" s="2">
        <v>31</v>
      </c>
      <c r="E657" s="2">
        <v>27</v>
      </c>
      <c r="F657" s="2">
        <v>4</v>
      </c>
      <c r="G657" s="2">
        <v>0</v>
      </c>
    </row>
    <row r="658" spans="1:7" x14ac:dyDescent="0.25">
      <c r="A658" s="2" t="s">
        <v>72</v>
      </c>
      <c r="B658" s="2" t="s">
        <v>176</v>
      </c>
      <c r="C658" s="2">
        <v>39</v>
      </c>
      <c r="D658" s="2">
        <v>38</v>
      </c>
      <c r="E658" s="2">
        <v>30</v>
      </c>
      <c r="F658" s="2">
        <v>8</v>
      </c>
      <c r="G658" s="2">
        <v>0</v>
      </c>
    </row>
    <row r="659" spans="1:7" x14ac:dyDescent="0.25">
      <c r="A659" s="2" t="s">
        <v>109</v>
      </c>
      <c r="B659" s="2" t="s">
        <v>3</v>
      </c>
      <c r="C659" s="2">
        <v>10</v>
      </c>
      <c r="D659" s="2">
        <v>9</v>
      </c>
      <c r="E659" s="2">
        <v>4</v>
      </c>
      <c r="F659" s="2">
        <v>5</v>
      </c>
      <c r="G659" s="2">
        <v>0</v>
      </c>
    </row>
    <row r="660" spans="1:7" x14ac:dyDescent="0.25">
      <c r="A660" s="2" t="s">
        <v>109</v>
      </c>
      <c r="B660" s="2" t="s">
        <v>11</v>
      </c>
      <c r="C660" s="2">
        <v>8</v>
      </c>
      <c r="D660" s="2">
        <v>8</v>
      </c>
      <c r="E660" s="2">
        <v>7</v>
      </c>
      <c r="F660" s="2">
        <v>1</v>
      </c>
      <c r="G660" s="2">
        <v>0</v>
      </c>
    </row>
    <row r="661" spans="1:7" x14ac:dyDescent="0.25">
      <c r="A661" s="2" t="s">
        <v>109</v>
      </c>
      <c r="B661" s="2" t="s">
        <v>174</v>
      </c>
      <c r="C661" s="2">
        <v>21</v>
      </c>
      <c r="D661" s="2">
        <v>21</v>
      </c>
      <c r="E661" s="2">
        <v>19</v>
      </c>
      <c r="F661" s="2">
        <v>2</v>
      </c>
      <c r="G661" s="2">
        <v>0</v>
      </c>
    </row>
    <row r="662" spans="1:7" x14ac:dyDescent="0.25">
      <c r="A662" s="2" t="s">
        <v>109</v>
      </c>
      <c r="B662" s="2" t="s">
        <v>175</v>
      </c>
      <c r="C662" s="2">
        <v>46</v>
      </c>
      <c r="D662" s="2">
        <v>45</v>
      </c>
      <c r="E662" s="2">
        <v>26</v>
      </c>
      <c r="F662" s="2">
        <v>19</v>
      </c>
      <c r="G662" s="2">
        <v>1</v>
      </c>
    </row>
    <row r="663" spans="1:7" x14ac:dyDescent="0.25">
      <c r="A663" s="2" t="s">
        <v>109</v>
      </c>
      <c r="B663" s="2" t="s">
        <v>176</v>
      </c>
      <c r="C663" s="2">
        <v>31</v>
      </c>
      <c r="D663" s="2">
        <v>31</v>
      </c>
      <c r="E663" s="2">
        <v>27</v>
      </c>
      <c r="F663" s="2">
        <v>4</v>
      </c>
      <c r="G663" s="2">
        <v>0</v>
      </c>
    </row>
    <row r="664" spans="1:7" x14ac:dyDescent="0.25">
      <c r="A664" s="2" t="s">
        <v>133</v>
      </c>
      <c r="B664" s="2" t="s">
        <v>3</v>
      </c>
      <c r="C664" s="2">
        <v>2</v>
      </c>
      <c r="D664" s="2">
        <v>2</v>
      </c>
      <c r="E664" s="2">
        <v>2</v>
      </c>
      <c r="F664" s="2">
        <v>0</v>
      </c>
      <c r="G664" s="2">
        <v>0</v>
      </c>
    </row>
    <row r="665" spans="1:7" x14ac:dyDescent="0.25">
      <c r="A665" s="2" t="s">
        <v>133</v>
      </c>
      <c r="B665" s="2" t="s">
        <v>11</v>
      </c>
      <c r="C665" s="2">
        <v>17</v>
      </c>
      <c r="D665" s="2">
        <v>17</v>
      </c>
      <c r="E665" s="2">
        <v>16</v>
      </c>
      <c r="F665" s="2">
        <v>1</v>
      </c>
      <c r="G665" s="2">
        <v>0</v>
      </c>
    </row>
    <row r="666" spans="1:7" x14ac:dyDescent="0.25">
      <c r="A666" s="2" t="s">
        <v>133</v>
      </c>
      <c r="B666" s="2" t="s">
        <v>174</v>
      </c>
      <c r="C666" s="2">
        <v>29</v>
      </c>
      <c r="D666" s="2">
        <v>29</v>
      </c>
      <c r="E666" s="2">
        <v>17</v>
      </c>
      <c r="F666" s="2">
        <v>12</v>
      </c>
      <c r="G666" s="2">
        <v>0</v>
      </c>
    </row>
    <row r="667" spans="1:7" x14ac:dyDescent="0.25">
      <c r="A667" s="2" t="s">
        <v>133</v>
      </c>
      <c r="B667" s="2" t="s">
        <v>175</v>
      </c>
      <c r="C667" s="2">
        <v>34</v>
      </c>
      <c r="D667" s="2">
        <v>34</v>
      </c>
      <c r="E667" s="2">
        <v>30</v>
      </c>
      <c r="F667" s="2">
        <v>4</v>
      </c>
      <c r="G667" s="2">
        <v>0</v>
      </c>
    </row>
    <row r="668" spans="1:7" x14ac:dyDescent="0.25">
      <c r="A668" s="2" t="s">
        <v>133</v>
      </c>
      <c r="B668" s="2" t="s">
        <v>176</v>
      </c>
      <c r="C668" s="2">
        <v>27</v>
      </c>
      <c r="D668" s="2">
        <v>27</v>
      </c>
      <c r="E668" s="2">
        <v>22</v>
      </c>
      <c r="F668" s="2">
        <v>5</v>
      </c>
      <c r="G668" s="2">
        <v>0</v>
      </c>
    </row>
    <row r="669" spans="1:7" x14ac:dyDescent="0.25">
      <c r="A669" s="2" t="s">
        <v>96</v>
      </c>
      <c r="B669" s="2" t="s">
        <v>3</v>
      </c>
      <c r="C669" s="2">
        <v>1</v>
      </c>
      <c r="D669" s="2">
        <v>1</v>
      </c>
      <c r="E669" s="2">
        <v>1</v>
      </c>
      <c r="F669" s="2">
        <v>0</v>
      </c>
      <c r="G669" s="2">
        <v>0</v>
      </c>
    </row>
    <row r="670" spans="1:7" x14ac:dyDescent="0.25">
      <c r="A670" s="2" t="s">
        <v>96</v>
      </c>
      <c r="B670" s="2" t="s">
        <v>11</v>
      </c>
      <c r="C670" s="2">
        <v>16</v>
      </c>
      <c r="D670" s="2">
        <v>15</v>
      </c>
      <c r="E670" s="2">
        <v>11</v>
      </c>
      <c r="F670" s="2">
        <v>4</v>
      </c>
      <c r="G670" s="2">
        <v>1</v>
      </c>
    </row>
    <row r="671" spans="1:7" x14ac:dyDescent="0.25">
      <c r="A671" s="2" t="s">
        <v>96</v>
      </c>
      <c r="B671" s="2" t="s">
        <v>174</v>
      </c>
      <c r="C671" s="2">
        <v>11</v>
      </c>
      <c r="D671" s="2">
        <v>11</v>
      </c>
      <c r="E671" s="2">
        <v>10</v>
      </c>
      <c r="F671" s="2">
        <v>1</v>
      </c>
      <c r="G671" s="2">
        <v>0</v>
      </c>
    </row>
    <row r="672" spans="1:7" x14ac:dyDescent="0.25">
      <c r="A672" s="2" t="s">
        <v>96</v>
      </c>
      <c r="B672" s="2" t="s">
        <v>175</v>
      </c>
      <c r="C672" s="2">
        <v>6</v>
      </c>
      <c r="D672" s="2">
        <v>5</v>
      </c>
      <c r="E672" s="2">
        <v>4</v>
      </c>
      <c r="F672" s="2">
        <v>1</v>
      </c>
      <c r="G672" s="2">
        <v>1</v>
      </c>
    </row>
    <row r="673" spans="1:7" x14ac:dyDescent="0.25">
      <c r="A673" s="2" t="s">
        <v>96</v>
      </c>
      <c r="B673" s="2" t="s">
        <v>176</v>
      </c>
      <c r="C673" s="2">
        <v>29</v>
      </c>
      <c r="D673" s="2">
        <v>28</v>
      </c>
      <c r="E673" s="2">
        <v>21</v>
      </c>
      <c r="F673" s="2">
        <v>7</v>
      </c>
      <c r="G673" s="2">
        <v>1</v>
      </c>
    </row>
    <row r="674" spans="1:7" x14ac:dyDescent="0.25">
      <c r="A674" s="2" t="s">
        <v>94</v>
      </c>
      <c r="B674" s="2" t="s">
        <v>3</v>
      </c>
      <c r="C674" s="2">
        <v>4</v>
      </c>
      <c r="D674" s="2">
        <v>2</v>
      </c>
      <c r="E674" s="2">
        <v>2</v>
      </c>
      <c r="F674" s="2">
        <v>0</v>
      </c>
      <c r="G674" s="2">
        <v>0</v>
      </c>
    </row>
    <row r="675" spans="1:7" x14ac:dyDescent="0.25">
      <c r="A675" s="2" t="s">
        <v>94</v>
      </c>
      <c r="B675" s="2" t="s">
        <v>11</v>
      </c>
      <c r="C675" s="2">
        <v>7</v>
      </c>
      <c r="D675" s="2">
        <v>7</v>
      </c>
      <c r="E675" s="2">
        <v>7</v>
      </c>
      <c r="F675" s="2">
        <v>0</v>
      </c>
      <c r="G675" s="2">
        <v>0</v>
      </c>
    </row>
    <row r="676" spans="1:7" x14ac:dyDescent="0.25">
      <c r="A676" s="2" t="s">
        <v>94</v>
      </c>
      <c r="B676" s="2" t="s">
        <v>174</v>
      </c>
      <c r="C676" s="2">
        <v>31</v>
      </c>
      <c r="D676" s="2">
        <v>30</v>
      </c>
      <c r="E676" s="2">
        <v>25</v>
      </c>
      <c r="F676" s="2">
        <v>5</v>
      </c>
      <c r="G676" s="2">
        <v>0</v>
      </c>
    </row>
    <row r="677" spans="1:7" x14ac:dyDescent="0.25">
      <c r="A677" s="2" t="s">
        <v>94</v>
      </c>
      <c r="B677" s="2" t="s">
        <v>175</v>
      </c>
      <c r="C677" s="2">
        <v>47</v>
      </c>
      <c r="D677" s="2">
        <v>45</v>
      </c>
      <c r="E677" s="2">
        <v>35</v>
      </c>
      <c r="F677" s="2">
        <v>10</v>
      </c>
      <c r="G677" s="2">
        <v>0</v>
      </c>
    </row>
    <row r="678" spans="1:7" x14ac:dyDescent="0.25">
      <c r="A678" s="2" t="s">
        <v>94</v>
      </c>
      <c r="B678" s="2" t="s">
        <v>176</v>
      </c>
      <c r="C678" s="2">
        <v>25</v>
      </c>
      <c r="D678" s="2">
        <v>23</v>
      </c>
      <c r="E678" s="2">
        <v>17</v>
      </c>
      <c r="F678" s="2">
        <v>6</v>
      </c>
      <c r="G678" s="2">
        <v>0</v>
      </c>
    </row>
    <row r="679" spans="1:7" x14ac:dyDescent="0.25">
      <c r="A679" s="2" t="s">
        <v>29</v>
      </c>
      <c r="B679" s="2" t="s">
        <v>11</v>
      </c>
      <c r="C679" s="2">
        <v>7</v>
      </c>
      <c r="D679" s="2">
        <v>7</v>
      </c>
      <c r="E679" s="2">
        <v>7</v>
      </c>
      <c r="F679" s="2">
        <v>0</v>
      </c>
      <c r="G679" s="2">
        <v>0</v>
      </c>
    </row>
    <row r="680" spans="1:7" x14ac:dyDescent="0.25">
      <c r="A680" s="2" t="s">
        <v>29</v>
      </c>
      <c r="B680" s="2" t="s">
        <v>174</v>
      </c>
      <c r="C680" s="2">
        <v>14</v>
      </c>
      <c r="D680" s="2">
        <v>14</v>
      </c>
      <c r="E680" s="2">
        <v>9</v>
      </c>
      <c r="F680" s="2">
        <v>5</v>
      </c>
      <c r="G680" s="2">
        <v>0</v>
      </c>
    </row>
    <row r="681" spans="1:7" x14ac:dyDescent="0.25">
      <c r="A681" s="2" t="s">
        <v>29</v>
      </c>
      <c r="B681" s="2" t="s">
        <v>175</v>
      </c>
      <c r="C681" s="2">
        <v>21</v>
      </c>
      <c r="D681" s="2">
        <v>18</v>
      </c>
      <c r="E681" s="2">
        <v>16</v>
      </c>
      <c r="F681" s="2">
        <v>2</v>
      </c>
      <c r="G681" s="2">
        <v>1</v>
      </c>
    </row>
    <row r="682" spans="1:7" x14ac:dyDescent="0.25">
      <c r="A682" s="2" t="s">
        <v>29</v>
      </c>
      <c r="B682" s="2" t="s">
        <v>176</v>
      </c>
      <c r="C682" s="2">
        <v>16</v>
      </c>
      <c r="D682" s="2">
        <v>16</v>
      </c>
      <c r="E682" s="2">
        <v>15</v>
      </c>
      <c r="F682" s="2">
        <v>1</v>
      </c>
      <c r="G682" s="2">
        <v>0</v>
      </c>
    </row>
    <row r="683" spans="1:7" x14ac:dyDescent="0.25">
      <c r="A683" s="2" t="s">
        <v>95</v>
      </c>
      <c r="B683" s="2" t="s">
        <v>11</v>
      </c>
      <c r="C683" s="2">
        <v>3</v>
      </c>
      <c r="D683" s="2">
        <v>3</v>
      </c>
      <c r="E683" s="2">
        <v>3</v>
      </c>
      <c r="F683" s="2">
        <v>0</v>
      </c>
      <c r="G683" s="2">
        <v>0</v>
      </c>
    </row>
    <row r="684" spans="1:7" x14ac:dyDescent="0.25">
      <c r="A684" s="2" t="s">
        <v>95</v>
      </c>
      <c r="B684" s="2" t="s">
        <v>174</v>
      </c>
      <c r="C684" s="2">
        <v>12</v>
      </c>
      <c r="D684" s="2">
        <v>12</v>
      </c>
      <c r="E684" s="2">
        <v>10</v>
      </c>
      <c r="F684" s="2">
        <v>2</v>
      </c>
      <c r="G684" s="2">
        <v>0</v>
      </c>
    </row>
    <row r="685" spans="1:7" x14ac:dyDescent="0.25">
      <c r="A685" s="2" t="s">
        <v>95</v>
      </c>
      <c r="B685" s="2" t="s">
        <v>175</v>
      </c>
      <c r="C685" s="2">
        <v>20</v>
      </c>
      <c r="D685" s="2">
        <v>19</v>
      </c>
      <c r="E685" s="2">
        <v>18</v>
      </c>
      <c r="F685" s="2">
        <v>1</v>
      </c>
      <c r="G685" s="2">
        <v>0</v>
      </c>
    </row>
    <row r="686" spans="1:7" x14ac:dyDescent="0.25">
      <c r="A686" s="2" t="s">
        <v>95</v>
      </c>
      <c r="B686" s="2" t="s">
        <v>176</v>
      </c>
      <c r="C686" s="2">
        <v>19</v>
      </c>
      <c r="D686" s="2">
        <v>19</v>
      </c>
      <c r="E686" s="2">
        <v>17</v>
      </c>
      <c r="F686" s="2">
        <v>2</v>
      </c>
      <c r="G686" s="2">
        <v>0</v>
      </c>
    </row>
    <row r="687" spans="1:7" x14ac:dyDescent="0.25">
      <c r="A687" s="2" t="s">
        <v>71</v>
      </c>
      <c r="B687" s="2" t="s">
        <v>3</v>
      </c>
      <c r="C687" s="2">
        <v>19</v>
      </c>
      <c r="D687" s="2">
        <v>8</v>
      </c>
      <c r="E687" s="2">
        <v>5</v>
      </c>
      <c r="F687" s="2">
        <v>3</v>
      </c>
      <c r="G687" s="2">
        <v>0</v>
      </c>
    </row>
    <row r="688" spans="1:7" x14ac:dyDescent="0.25">
      <c r="A688" s="2" t="s">
        <v>71</v>
      </c>
      <c r="B688" s="2" t="s">
        <v>11</v>
      </c>
      <c r="C688" s="2">
        <v>6</v>
      </c>
      <c r="D688" s="2">
        <v>6</v>
      </c>
      <c r="E688" s="2">
        <v>5</v>
      </c>
      <c r="F688" s="2">
        <v>1</v>
      </c>
      <c r="G688" s="2">
        <v>0</v>
      </c>
    </row>
    <row r="689" spans="1:7" x14ac:dyDescent="0.25">
      <c r="A689" s="2" t="s">
        <v>71</v>
      </c>
      <c r="B689" s="2" t="s">
        <v>174</v>
      </c>
      <c r="C689" s="2">
        <v>20</v>
      </c>
      <c r="D689" s="2">
        <v>20</v>
      </c>
      <c r="E689" s="2">
        <v>14</v>
      </c>
      <c r="F689" s="2">
        <v>6</v>
      </c>
      <c r="G689" s="2">
        <v>0</v>
      </c>
    </row>
    <row r="690" spans="1:7" x14ac:dyDescent="0.25">
      <c r="A690" s="2" t="s">
        <v>71</v>
      </c>
      <c r="B690" s="2" t="s">
        <v>175</v>
      </c>
      <c r="C690" s="2">
        <v>37</v>
      </c>
      <c r="D690" s="2">
        <v>36</v>
      </c>
      <c r="E690" s="2">
        <v>28</v>
      </c>
      <c r="F690" s="2">
        <v>8</v>
      </c>
      <c r="G690" s="2">
        <v>0</v>
      </c>
    </row>
    <row r="691" spans="1:7" x14ac:dyDescent="0.25">
      <c r="A691" s="2" t="s">
        <v>71</v>
      </c>
      <c r="B691" s="2" t="s">
        <v>176</v>
      </c>
      <c r="C691" s="2">
        <v>18</v>
      </c>
      <c r="D691" s="2">
        <v>17</v>
      </c>
      <c r="E691" s="2">
        <v>14</v>
      </c>
      <c r="F691" s="2">
        <v>3</v>
      </c>
      <c r="G691" s="2">
        <v>0</v>
      </c>
    </row>
    <row r="692" spans="1:7" x14ac:dyDescent="0.25">
      <c r="A692" s="2" t="s">
        <v>18</v>
      </c>
      <c r="B692" s="2" t="s">
        <v>3</v>
      </c>
      <c r="C692" s="2">
        <v>3</v>
      </c>
      <c r="D692" s="2">
        <v>3</v>
      </c>
      <c r="E692" s="2">
        <v>3</v>
      </c>
      <c r="F692" s="2">
        <v>0</v>
      </c>
      <c r="G692" s="2">
        <v>0</v>
      </c>
    </row>
    <row r="693" spans="1:7" x14ac:dyDescent="0.25">
      <c r="A693" s="2" t="s">
        <v>18</v>
      </c>
      <c r="B693" s="2" t="s">
        <v>11</v>
      </c>
      <c r="C693" s="2">
        <v>58</v>
      </c>
      <c r="D693" s="2">
        <v>57</v>
      </c>
      <c r="E693" s="2">
        <v>54</v>
      </c>
      <c r="F693" s="2">
        <v>3</v>
      </c>
      <c r="G693" s="2">
        <v>0</v>
      </c>
    </row>
    <row r="694" spans="1:7" x14ac:dyDescent="0.25">
      <c r="A694" s="2" t="s">
        <v>18</v>
      </c>
      <c r="B694" s="2" t="s">
        <v>174</v>
      </c>
      <c r="C694" s="2">
        <v>28</v>
      </c>
      <c r="D694" s="2">
        <v>28</v>
      </c>
      <c r="E694" s="2">
        <v>26</v>
      </c>
      <c r="F694" s="2">
        <v>2</v>
      </c>
      <c r="G694" s="2">
        <v>0</v>
      </c>
    </row>
    <row r="695" spans="1:7" x14ac:dyDescent="0.25">
      <c r="A695" s="2" t="s">
        <v>18</v>
      </c>
      <c r="B695" s="2" t="s">
        <v>175</v>
      </c>
      <c r="C695" s="2">
        <v>40</v>
      </c>
      <c r="D695" s="2">
        <v>39</v>
      </c>
      <c r="E695" s="2">
        <v>30</v>
      </c>
      <c r="F695" s="2">
        <v>9</v>
      </c>
      <c r="G695" s="2">
        <v>0</v>
      </c>
    </row>
    <row r="696" spans="1:7" x14ac:dyDescent="0.25">
      <c r="A696" s="2" t="s">
        <v>18</v>
      </c>
      <c r="B696" s="2" t="s">
        <v>176</v>
      </c>
      <c r="C696" s="2">
        <v>27</v>
      </c>
      <c r="D696" s="2">
        <v>27</v>
      </c>
      <c r="E696" s="2">
        <v>23</v>
      </c>
      <c r="F696" s="2">
        <v>4</v>
      </c>
      <c r="G696" s="2">
        <v>0</v>
      </c>
    </row>
    <row r="697" spans="1:7" x14ac:dyDescent="0.25">
      <c r="A697" s="2" t="s">
        <v>147</v>
      </c>
      <c r="B697" s="2" t="s">
        <v>3</v>
      </c>
      <c r="C697" s="2">
        <v>2</v>
      </c>
      <c r="D697" s="2">
        <v>2</v>
      </c>
      <c r="E697" s="2">
        <v>2</v>
      </c>
      <c r="F697" s="2">
        <v>0</v>
      </c>
      <c r="G697" s="2">
        <v>0</v>
      </c>
    </row>
    <row r="698" spans="1:7" x14ac:dyDescent="0.25">
      <c r="A698" s="2" t="s">
        <v>147</v>
      </c>
      <c r="B698" s="2" t="s">
        <v>11</v>
      </c>
      <c r="C698" s="2">
        <v>13</v>
      </c>
      <c r="D698" s="2">
        <v>12</v>
      </c>
      <c r="E698" s="2">
        <v>10</v>
      </c>
      <c r="F698" s="2">
        <v>2</v>
      </c>
      <c r="G698" s="2">
        <v>1</v>
      </c>
    </row>
    <row r="699" spans="1:7" x14ac:dyDescent="0.25">
      <c r="A699" s="2" t="s">
        <v>147</v>
      </c>
      <c r="B699" s="2" t="s">
        <v>174</v>
      </c>
      <c r="C699" s="2">
        <v>36</v>
      </c>
      <c r="D699" s="2">
        <v>36</v>
      </c>
      <c r="E699" s="2">
        <v>27</v>
      </c>
      <c r="F699" s="2">
        <v>9</v>
      </c>
      <c r="G699" s="2">
        <v>0</v>
      </c>
    </row>
    <row r="700" spans="1:7" x14ac:dyDescent="0.25">
      <c r="A700" s="2" t="s">
        <v>147</v>
      </c>
      <c r="B700" s="2" t="s">
        <v>175</v>
      </c>
      <c r="C700" s="2">
        <v>14</v>
      </c>
      <c r="D700" s="2">
        <v>13</v>
      </c>
      <c r="E700" s="2">
        <v>11</v>
      </c>
      <c r="F700" s="2">
        <v>2</v>
      </c>
      <c r="G700" s="2">
        <v>1</v>
      </c>
    </row>
    <row r="701" spans="1:7" x14ac:dyDescent="0.25">
      <c r="A701" s="2" t="s">
        <v>147</v>
      </c>
      <c r="B701" s="2" t="s">
        <v>176</v>
      </c>
      <c r="C701" s="2">
        <v>38</v>
      </c>
      <c r="D701" s="2">
        <v>38</v>
      </c>
      <c r="E701" s="2">
        <v>35</v>
      </c>
      <c r="F701" s="2">
        <v>3</v>
      </c>
      <c r="G701" s="2">
        <v>0</v>
      </c>
    </row>
    <row r="702" spans="1:7" x14ac:dyDescent="0.25">
      <c r="A702" s="2" t="s">
        <v>19</v>
      </c>
      <c r="B702" s="2" t="s">
        <v>3</v>
      </c>
      <c r="C702" s="2">
        <v>2</v>
      </c>
      <c r="D702" s="2">
        <v>2</v>
      </c>
      <c r="E702" s="2">
        <v>1</v>
      </c>
      <c r="F702" s="2">
        <v>1</v>
      </c>
      <c r="G702" s="2">
        <v>0</v>
      </c>
    </row>
    <row r="703" spans="1:7" x14ac:dyDescent="0.25">
      <c r="A703" s="2" t="s">
        <v>19</v>
      </c>
      <c r="B703" s="2" t="s">
        <v>11</v>
      </c>
      <c r="C703" s="2">
        <v>21</v>
      </c>
      <c r="D703" s="2">
        <v>21</v>
      </c>
      <c r="E703" s="2">
        <v>18</v>
      </c>
      <c r="F703" s="2">
        <v>3</v>
      </c>
      <c r="G703" s="2">
        <v>0</v>
      </c>
    </row>
    <row r="704" spans="1:7" x14ac:dyDescent="0.25">
      <c r="A704" s="2" t="s">
        <v>19</v>
      </c>
      <c r="B704" s="2" t="s">
        <v>174</v>
      </c>
      <c r="C704" s="2">
        <v>45</v>
      </c>
      <c r="D704" s="2">
        <v>45</v>
      </c>
      <c r="E704" s="2">
        <v>33</v>
      </c>
      <c r="F704" s="2">
        <v>12</v>
      </c>
      <c r="G704" s="2">
        <v>0</v>
      </c>
    </row>
    <row r="705" spans="1:7" x14ac:dyDescent="0.25">
      <c r="A705" s="2" t="s">
        <v>19</v>
      </c>
      <c r="B705" s="2" t="s">
        <v>175</v>
      </c>
      <c r="C705" s="2">
        <v>65</v>
      </c>
      <c r="D705" s="2">
        <v>62</v>
      </c>
      <c r="E705" s="2">
        <v>44</v>
      </c>
      <c r="F705" s="2">
        <v>18</v>
      </c>
      <c r="G705" s="2">
        <v>1</v>
      </c>
    </row>
    <row r="706" spans="1:7" x14ac:dyDescent="0.25">
      <c r="A706" s="2" t="s">
        <v>19</v>
      </c>
      <c r="B706" s="2" t="s">
        <v>176</v>
      </c>
      <c r="C706" s="2">
        <v>66</v>
      </c>
      <c r="D706" s="2">
        <v>65</v>
      </c>
      <c r="E706" s="2">
        <v>40</v>
      </c>
      <c r="F706" s="2">
        <v>25</v>
      </c>
      <c r="G706" s="2">
        <v>1</v>
      </c>
    </row>
    <row r="707" spans="1:7" x14ac:dyDescent="0.25">
      <c r="A707" s="2" t="s">
        <v>26</v>
      </c>
      <c r="B707" s="2" t="s">
        <v>3</v>
      </c>
      <c r="C707" s="2">
        <v>1</v>
      </c>
      <c r="D707" s="2">
        <v>1</v>
      </c>
      <c r="E707" s="2">
        <v>0</v>
      </c>
      <c r="F707" s="2">
        <v>1</v>
      </c>
      <c r="G707" s="2">
        <v>0</v>
      </c>
    </row>
    <row r="708" spans="1:7" x14ac:dyDescent="0.25">
      <c r="A708" s="2" t="s">
        <v>26</v>
      </c>
      <c r="B708" s="2" t="s">
        <v>11</v>
      </c>
      <c r="C708" s="2">
        <v>15</v>
      </c>
      <c r="D708" s="2">
        <v>15</v>
      </c>
      <c r="E708" s="2">
        <v>11</v>
      </c>
      <c r="F708" s="2">
        <v>4</v>
      </c>
      <c r="G708" s="2">
        <v>0</v>
      </c>
    </row>
    <row r="709" spans="1:7" x14ac:dyDescent="0.25">
      <c r="A709" s="2" t="s">
        <v>26</v>
      </c>
      <c r="B709" s="2" t="s">
        <v>174</v>
      </c>
      <c r="C709" s="2">
        <v>27</v>
      </c>
      <c r="D709" s="2">
        <v>27</v>
      </c>
      <c r="E709" s="2">
        <v>27</v>
      </c>
      <c r="F709" s="2">
        <v>0</v>
      </c>
      <c r="G709" s="2">
        <v>0</v>
      </c>
    </row>
    <row r="710" spans="1:7" x14ac:dyDescent="0.25">
      <c r="A710" s="2" t="s">
        <v>26</v>
      </c>
      <c r="B710" s="2" t="s">
        <v>175</v>
      </c>
      <c r="C710" s="2">
        <v>62</v>
      </c>
      <c r="D710" s="2">
        <v>61</v>
      </c>
      <c r="E710" s="2">
        <v>45</v>
      </c>
      <c r="F710" s="2">
        <v>16</v>
      </c>
      <c r="G710" s="2">
        <v>1</v>
      </c>
    </row>
    <row r="711" spans="1:7" x14ac:dyDescent="0.25">
      <c r="A711" s="2" t="s">
        <v>26</v>
      </c>
      <c r="B711" s="2" t="s">
        <v>176</v>
      </c>
      <c r="C711" s="2">
        <v>34</v>
      </c>
      <c r="D711" s="2">
        <v>34</v>
      </c>
      <c r="E711" s="2">
        <v>30</v>
      </c>
      <c r="F711" s="2">
        <v>4</v>
      </c>
      <c r="G711" s="2">
        <v>0</v>
      </c>
    </row>
    <row r="712" spans="1:7" x14ac:dyDescent="0.25">
      <c r="A712" s="2" t="s">
        <v>191</v>
      </c>
      <c r="B712" s="2" t="s">
        <v>3</v>
      </c>
      <c r="C712" s="2">
        <v>3</v>
      </c>
      <c r="D712" s="2">
        <v>3</v>
      </c>
      <c r="E712" s="2">
        <v>3</v>
      </c>
      <c r="F712" s="2">
        <v>0</v>
      </c>
      <c r="G712" s="2">
        <v>0</v>
      </c>
    </row>
    <row r="713" spans="1:7" x14ac:dyDescent="0.25">
      <c r="A713" s="2" t="s">
        <v>191</v>
      </c>
      <c r="B713" s="2" t="s">
        <v>11</v>
      </c>
      <c r="C713" s="2">
        <v>41</v>
      </c>
      <c r="D713" s="2">
        <v>40</v>
      </c>
      <c r="E713" s="2">
        <v>31</v>
      </c>
      <c r="F713" s="2">
        <v>9</v>
      </c>
      <c r="G713" s="2">
        <v>0</v>
      </c>
    </row>
    <row r="714" spans="1:7" x14ac:dyDescent="0.25">
      <c r="A714" s="2" t="s">
        <v>191</v>
      </c>
      <c r="B714" s="2" t="s">
        <v>174</v>
      </c>
      <c r="C714" s="2">
        <v>82</v>
      </c>
      <c r="D714" s="2">
        <v>78</v>
      </c>
      <c r="E714" s="2">
        <v>62</v>
      </c>
      <c r="F714" s="2">
        <v>16</v>
      </c>
      <c r="G714" s="2">
        <v>1</v>
      </c>
    </row>
    <row r="715" spans="1:7" x14ac:dyDescent="0.25">
      <c r="A715" s="2" t="s">
        <v>191</v>
      </c>
      <c r="B715" s="2" t="s">
        <v>175</v>
      </c>
      <c r="C715" s="2">
        <v>118</v>
      </c>
      <c r="D715" s="2">
        <v>114</v>
      </c>
      <c r="E715" s="2">
        <v>84</v>
      </c>
      <c r="F715" s="2">
        <v>30</v>
      </c>
      <c r="G715" s="2">
        <v>1</v>
      </c>
    </row>
    <row r="716" spans="1:7" x14ac:dyDescent="0.25">
      <c r="A716" s="2" t="s">
        <v>191</v>
      </c>
      <c r="B716" s="2" t="s">
        <v>176</v>
      </c>
      <c r="C716" s="2">
        <v>118</v>
      </c>
      <c r="D716" s="2">
        <v>117</v>
      </c>
      <c r="E716" s="2">
        <v>74</v>
      </c>
      <c r="F716" s="2">
        <v>43</v>
      </c>
      <c r="G716" s="2">
        <v>1</v>
      </c>
    </row>
    <row r="717" spans="1:7" x14ac:dyDescent="0.25">
      <c r="A717" s="2" t="s">
        <v>153</v>
      </c>
      <c r="B717" s="2" t="s">
        <v>11</v>
      </c>
      <c r="C717" s="2">
        <v>6</v>
      </c>
      <c r="D717" s="2">
        <v>6</v>
      </c>
      <c r="E717" s="2">
        <v>4</v>
      </c>
      <c r="F717" s="2">
        <v>2</v>
      </c>
      <c r="G717" s="2">
        <v>0</v>
      </c>
    </row>
    <row r="718" spans="1:7" x14ac:dyDescent="0.25">
      <c r="A718" s="2" t="s">
        <v>153</v>
      </c>
      <c r="B718" s="2" t="s">
        <v>174</v>
      </c>
      <c r="C718" s="2">
        <v>46</v>
      </c>
      <c r="D718" s="2">
        <v>44</v>
      </c>
      <c r="E718" s="2">
        <v>35</v>
      </c>
      <c r="F718" s="2">
        <v>9</v>
      </c>
      <c r="G718" s="2">
        <v>2</v>
      </c>
    </row>
    <row r="719" spans="1:7" x14ac:dyDescent="0.25">
      <c r="A719" s="2" t="s">
        <v>153</v>
      </c>
      <c r="B719" s="2" t="s">
        <v>175</v>
      </c>
      <c r="C719" s="2">
        <v>70</v>
      </c>
      <c r="D719" s="2">
        <v>68</v>
      </c>
      <c r="E719" s="2">
        <v>46</v>
      </c>
      <c r="F719" s="2">
        <v>22</v>
      </c>
      <c r="G719" s="2">
        <v>0</v>
      </c>
    </row>
    <row r="720" spans="1:7" x14ac:dyDescent="0.25">
      <c r="A720" s="2" t="s">
        <v>153</v>
      </c>
      <c r="B720" s="2" t="s">
        <v>176</v>
      </c>
      <c r="C720" s="2">
        <v>13</v>
      </c>
      <c r="D720" s="2">
        <v>13</v>
      </c>
      <c r="E720" s="2">
        <v>10</v>
      </c>
      <c r="F720" s="2">
        <v>3</v>
      </c>
      <c r="G720" s="2">
        <v>0</v>
      </c>
    </row>
    <row r="721" spans="1:7" x14ac:dyDescent="0.25">
      <c r="A721" s="2" t="s">
        <v>98</v>
      </c>
      <c r="B721" s="2" t="s">
        <v>3</v>
      </c>
      <c r="C721" s="2">
        <v>11</v>
      </c>
      <c r="D721" s="2">
        <v>8</v>
      </c>
      <c r="E721" s="2">
        <v>7</v>
      </c>
      <c r="F721" s="2">
        <v>1</v>
      </c>
      <c r="G721" s="2">
        <v>0</v>
      </c>
    </row>
    <row r="722" spans="1:7" x14ac:dyDescent="0.25">
      <c r="A722" s="2" t="s">
        <v>98</v>
      </c>
      <c r="B722" s="2" t="s">
        <v>11</v>
      </c>
      <c r="C722" s="2">
        <v>125</v>
      </c>
      <c r="D722" s="2">
        <v>120</v>
      </c>
      <c r="E722" s="2">
        <v>97</v>
      </c>
      <c r="F722" s="2">
        <v>23</v>
      </c>
      <c r="G722" s="2">
        <v>1</v>
      </c>
    </row>
    <row r="723" spans="1:7" x14ac:dyDescent="0.25">
      <c r="A723" s="2" t="s">
        <v>98</v>
      </c>
      <c r="B723" s="2" t="s">
        <v>174</v>
      </c>
      <c r="C723" s="2">
        <v>113</v>
      </c>
      <c r="D723" s="2">
        <v>96</v>
      </c>
      <c r="E723" s="2">
        <v>76</v>
      </c>
      <c r="F723" s="2">
        <v>20</v>
      </c>
      <c r="G723" s="2">
        <v>1</v>
      </c>
    </row>
    <row r="724" spans="1:7" x14ac:dyDescent="0.25">
      <c r="A724" s="2" t="s">
        <v>98</v>
      </c>
      <c r="B724" s="2" t="s">
        <v>175</v>
      </c>
      <c r="C724" s="2">
        <v>290</v>
      </c>
      <c r="D724" s="2">
        <v>266</v>
      </c>
      <c r="E724" s="2">
        <v>230</v>
      </c>
      <c r="F724" s="2">
        <v>36</v>
      </c>
      <c r="G724" s="2">
        <v>2</v>
      </c>
    </row>
    <row r="725" spans="1:7" x14ac:dyDescent="0.25">
      <c r="A725" s="2" t="s">
        <v>98</v>
      </c>
      <c r="B725" s="2" t="s">
        <v>182</v>
      </c>
      <c r="C725" s="2">
        <v>1</v>
      </c>
      <c r="D725" s="2">
        <v>1</v>
      </c>
      <c r="E725" s="2">
        <v>1</v>
      </c>
      <c r="F725" s="2">
        <v>0</v>
      </c>
      <c r="G725" s="2">
        <v>0</v>
      </c>
    </row>
    <row r="726" spans="1:7" x14ac:dyDescent="0.25">
      <c r="A726" s="2" t="s">
        <v>98</v>
      </c>
      <c r="B726" s="2" t="s">
        <v>176</v>
      </c>
      <c r="C726" s="2">
        <v>203</v>
      </c>
      <c r="D726" s="2">
        <v>185</v>
      </c>
      <c r="E726" s="2">
        <v>148</v>
      </c>
      <c r="F726" s="2">
        <v>37</v>
      </c>
      <c r="G726" s="2">
        <v>0</v>
      </c>
    </row>
    <row r="727" spans="1:7" x14ac:dyDescent="0.25">
      <c r="A727" s="2" t="s">
        <v>20</v>
      </c>
      <c r="B727" s="2" t="s">
        <v>3</v>
      </c>
      <c r="C727" s="2">
        <v>6</v>
      </c>
      <c r="D727" s="2">
        <v>4</v>
      </c>
      <c r="E727" s="2">
        <v>4</v>
      </c>
      <c r="F727" s="2">
        <v>0</v>
      </c>
      <c r="G727" s="2">
        <v>0</v>
      </c>
    </row>
    <row r="728" spans="1:7" x14ac:dyDescent="0.25">
      <c r="A728" s="2" t="s">
        <v>20</v>
      </c>
      <c r="B728" s="2" t="s">
        <v>11</v>
      </c>
      <c r="C728" s="2">
        <v>50</v>
      </c>
      <c r="D728" s="2">
        <v>50</v>
      </c>
      <c r="E728" s="2">
        <v>37</v>
      </c>
      <c r="F728" s="2">
        <v>13</v>
      </c>
      <c r="G728" s="2">
        <v>0</v>
      </c>
    </row>
    <row r="729" spans="1:7" x14ac:dyDescent="0.25">
      <c r="A729" s="2" t="s">
        <v>20</v>
      </c>
      <c r="B729" s="2" t="s">
        <v>174</v>
      </c>
      <c r="C729" s="2">
        <v>81</v>
      </c>
      <c r="D729" s="2">
        <v>77</v>
      </c>
      <c r="E729" s="2">
        <v>46</v>
      </c>
      <c r="F729" s="2">
        <v>31</v>
      </c>
      <c r="G729" s="2">
        <v>1</v>
      </c>
    </row>
    <row r="730" spans="1:7" x14ac:dyDescent="0.25">
      <c r="A730" s="2" t="s">
        <v>20</v>
      </c>
      <c r="B730" s="2" t="s">
        <v>175</v>
      </c>
      <c r="C730" s="2">
        <v>147</v>
      </c>
      <c r="D730" s="2">
        <v>139</v>
      </c>
      <c r="E730" s="2">
        <v>88</v>
      </c>
      <c r="F730" s="2">
        <v>51</v>
      </c>
      <c r="G730" s="2">
        <v>0</v>
      </c>
    </row>
    <row r="731" spans="1:7" x14ac:dyDescent="0.25">
      <c r="A731" s="2" t="s">
        <v>20</v>
      </c>
      <c r="B731" s="2" t="s">
        <v>182</v>
      </c>
      <c r="C731" s="2">
        <v>1</v>
      </c>
      <c r="D731" s="2">
        <v>1</v>
      </c>
      <c r="E731" s="2">
        <v>1</v>
      </c>
      <c r="F731" s="2">
        <v>0</v>
      </c>
      <c r="G731" s="2">
        <v>0</v>
      </c>
    </row>
    <row r="732" spans="1:7" x14ac:dyDescent="0.25">
      <c r="A732" s="2" t="s">
        <v>20</v>
      </c>
      <c r="B732" s="2" t="s">
        <v>176</v>
      </c>
      <c r="C732" s="2">
        <v>96</v>
      </c>
      <c r="D732" s="2">
        <v>96</v>
      </c>
      <c r="E732" s="2">
        <v>74</v>
      </c>
      <c r="F732" s="2">
        <v>22</v>
      </c>
      <c r="G732" s="2">
        <v>0</v>
      </c>
    </row>
    <row r="733" spans="1:7" x14ac:dyDescent="0.25">
      <c r="A733" s="2" t="s">
        <v>30</v>
      </c>
      <c r="B733" s="2" t="s">
        <v>3</v>
      </c>
      <c r="C733" s="2">
        <v>6</v>
      </c>
      <c r="D733" s="2">
        <v>6</v>
      </c>
      <c r="E733" s="2">
        <v>6</v>
      </c>
      <c r="F733" s="2">
        <v>0</v>
      </c>
      <c r="G733" s="2">
        <v>0</v>
      </c>
    </row>
    <row r="734" spans="1:7" x14ac:dyDescent="0.25">
      <c r="A734" s="2" t="s">
        <v>30</v>
      </c>
      <c r="B734" s="2" t="s">
        <v>11</v>
      </c>
      <c r="C734" s="2">
        <v>15</v>
      </c>
      <c r="D734" s="2">
        <v>15</v>
      </c>
      <c r="E734" s="2">
        <v>13</v>
      </c>
      <c r="F734" s="2">
        <v>2</v>
      </c>
      <c r="G734" s="2">
        <v>0</v>
      </c>
    </row>
    <row r="735" spans="1:7" x14ac:dyDescent="0.25">
      <c r="A735" s="2" t="s">
        <v>30</v>
      </c>
      <c r="B735" s="2" t="s">
        <v>174</v>
      </c>
      <c r="C735" s="2">
        <v>28</v>
      </c>
      <c r="D735" s="2">
        <v>27</v>
      </c>
      <c r="E735" s="2">
        <v>19</v>
      </c>
      <c r="F735" s="2">
        <v>8</v>
      </c>
      <c r="G735" s="2">
        <v>0</v>
      </c>
    </row>
    <row r="736" spans="1:7" x14ac:dyDescent="0.25">
      <c r="A736" s="2" t="s">
        <v>30</v>
      </c>
      <c r="B736" s="2" t="s">
        <v>175</v>
      </c>
      <c r="C736" s="2">
        <v>22</v>
      </c>
      <c r="D736" s="2">
        <v>21</v>
      </c>
      <c r="E736" s="2">
        <v>18</v>
      </c>
      <c r="F736" s="2">
        <v>3</v>
      </c>
      <c r="G736" s="2">
        <v>0</v>
      </c>
    </row>
    <row r="737" spans="1:7" x14ac:dyDescent="0.25">
      <c r="A737" s="2" t="s">
        <v>30</v>
      </c>
      <c r="B737" s="2" t="s">
        <v>176</v>
      </c>
      <c r="C737" s="2">
        <v>29</v>
      </c>
      <c r="D737" s="2">
        <v>29</v>
      </c>
      <c r="E737" s="2">
        <v>19</v>
      </c>
      <c r="F737" s="2">
        <v>10</v>
      </c>
      <c r="G737" s="2">
        <v>0</v>
      </c>
    </row>
    <row r="738" spans="1:7" x14ac:dyDescent="0.25">
      <c r="A738" s="2" t="s">
        <v>69</v>
      </c>
      <c r="B738" s="2" t="s">
        <v>11</v>
      </c>
      <c r="C738" s="2">
        <v>26</v>
      </c>
      <c r="D738" s="2">
        <v>25</v>
      </c>
      <c r="E738" s="2">
        <v>16</v>
      </c>
      <c r="F738" s="2">
        <v>9</v>
      </c>
      <c r="G738" s="2">
        <v>0</v>
      </c>
    </row>
    <row r="739" spans="1:7" x14ac:dyDescent="0.25">
      <c r="A739" s="2" t="s">
        <v>69</v>
      </c>
      <c r="B739" s="2" t="s">
        <v>174</v>
      </c>
      <c r="C739" s="2">
        <v>25</v>
      </c>
      <c r="D739" s="2">
        <v>24</v>
      </c>
      <c r="E739" s="2">
        <v>16</v>
      </c>
      <c r="F739" s="2">
        <v>8</v>
      </c>
      <c r="G739" s="2">
        <v>0</v>
      </c>
    </row>
    <row r="740" spans="1:7" x14ac:dyDescent="0.25">
      <c r="A740" s="2" t="s">
        <v>69</v>
      </c>
      <c r="B740" s="2" t="s">
        <v>175</v>
      </c>
      <c r="C740" s="2">
        <v>29</v>
      </c>
      <c r="D740" s="2">
        <v>28</v>
      </c>
      <c r="E740" s="2">
        <v>22</v>
      </c>
      <c r="F740" s="2">
        <v>6</v>
      </c>
      <c r="G740" s="2">
        <v>0</v>
      </c>
    </row>
    <row r="741" spans="1:7" x14ac:dyDescent="0.25">
      <c r="A741" s="2" t="s">
        <v>69</v>
      </c>
      <c r="B741" s="2" t="s">
        <v>176</v>
      </c>
      <c r="C741" s="2">
        <v>25</v>
      </c>
      <c r="D741" s="2">
        <v>25</v>
      </c>
      <c r="E741" s="2">
        <v>19</v>
      </c>
      <c r="F741" s="2">
        <v>6</v>
      </c>
      <c r="G741" s="2">
        <v>0</v>
      </c>
    </row>
    <row r="742" spans="1:7" x14ac:dyDescent="0.25">
      <c r="A742" s="2" t="s">
        <v>131</v>
      </c>
      <c r="B742" s="2" t="s">
        <v>3</v>
      </c>
      <c r="C742" s="2">
        <v>4</v>
      </c>
      <c r="D742" s="2">
        <v>3</v>
      </c>
      <c r="E742" s="2">
        <v>2</v>
      </c>
      <c r="F742" s="2">
        <v>1</v>
      </c>
      <c r="G742" s="2">
        <v>0</v>
      </c>
    </row>
    <row r="743" spans="1:7" x14ac:dyDescent="0.25">
      <c r="A743" s="2" t="s">
        <v>131</v>
      </c>
      <c r="B743" s="2" t="s">
        <v>11</v>
      </c>
      <c r="C743" s="2">
        <v>13</v>
      </c>
      <c r="D743" s="2">
        <v>13</v>
      </c>
      <c r="E743" s="2">
        <v>13</v>
      </c>
      <c r="F743" s="2">
        <v>0</v>
      </c>
      <c r="G743" s="2">
        <v>0</v>
      </c>
    </row>
    <row r="744" spans="1:7" x14ac:dyDescent="0.25">
      <c r="A744" s="2" t="s">
        <v>131</v>
      </c>
      <c r="B744" s="2" t="s">
        <v>174</v>
      </c>
      <c r="C744" s="2">
        <v>17</v>
      </c>
      <c r="D744" s="2">
        <v>17</v>
      </c>
      <c r="E744" s="2">
        <v>15</v>
      </c>
      <c r="F744" s="2">
        <v>2</v>
      </c>
      <c r="G744" s="2">
        <v>0</v>
      </c>
    </row>
    <row r="745" spans="1:7" x14ac:dyDescent="0.25">
      <c r="A745" s="2" t="s">
        <v>131</v>
      </c>
      <c r="B745" s="2" t="s">
        <v>175</v>
      </c>
      <c r="C745" s="2">
        <v>28</v>
      </c>
      <c r="D745" s="2">
        <v>27</v>
      </c>
      <c r="E745" s="2">
        <v>25</v>
      </c>
      <c r="F745" s="2">
        <v>2</v>
      </c>
      <c r="G745" s="2">
        <v>1</v>
      </c>
    </row>
    <row r="746" spans="1:7" x14ac:dyDescent="0.25">
      <c r="A746" s="2" t="s">
        <v>131</v>
      </c>
      <c r="B746" s="2" t="s">
        <v>176</v>
      </c>
      <c r="C746" s="2">
        <v>39</v>
      </c>
      <c r="D746" s="2">
        <v>39</v>
      </c>
      <c r="E746" s="2">
        <v>31</v>
      </c>
      <c r="F746" s="2">
        <v>8</v>
      </c>
      <c r="G746" s="2">
        <v>0</v>
      </c>
    </row>
    <row r="747" spans="1:7" x14ac:dyDescent="0.25">
      <c r="A747" s="2" t="s">
        <v>21</v>
      </c>
      <c r="B747" s="2" t="s">
        <v>11</v>
      </c>
      <c r="C747" s="2">
        <v>19</v>
      </c>
      <c r="D747" s="2">
        <v>19</v>
      </c>
      <c r="E747" s="2">
        <v>19</v>
      </c>
      <c r="F747" s="2">
        <v>0</v>
      </c>
      <c r="G747" s="2">
        <v>0</v>
      </c>
    </row>
    <row r="748" spans="1:7" x14ac:dyDescent="0.25">
      <c r="A748" s="2" t="s">
        <v>21</v>
      </c>
      <c r="B748" s="2" t="s">
        <v>174</v>
      </c>
      <c r="C748" s="2">
        <v>31</v>
      </c>
      <c r="D748" s="2">
        <v>31</v>
      </c>
      <c r="E748" s="2">
        <v>22</v>
      </c>
      <c r="F748" s="2">
        <v>9</v>
      </c>
      <c r="G748" s="2">
        <v>0</v>
      </c>
    </row>
    <row r="749" spans="1:7" x14ac:dyDescent="0.25">
      <c r="A749" s="2" t="s">
        <v>21</v>
      </c>
      <c r="B749" s="2" t="s">
        <v>175</v>
      </c>
      <c r="C749" s="2">
        <v>51</v>
      </c>
      <c r="D749" s="2">
        <v>49</v>
      </c>
      <c r="E749" s="2">
        <v>44</v>
      </c>
      <c r="F749" s="2">
        <v>5</v>
      </c>
      <c r="G749" s="2">
        <v>0</v>
      </c>
    </row>
    <row r="750" spans="1:7" x14ac:dyDescent="0.25">
      <c r="A750" s="2" t="s">
        <v>21</v>
      </c>
      <c r="B750" s="2" t="s">
        <v>176</v>
      </c>
      <c r="C750" s="2">
        <v>29</v>
      </c>
      <c r="D750" s="2">
        <v>29</v>
      </c>
      <c r="E750" s="2">
        <v>26</v>
      </c>
      <c r="F750" s="2">
        <v>3</v>
      </c>
      <c r="G750" s="2">
        <v>0</v>
      </c>
    </row>
    <row r="751" spans="1:7" x14ac:dyDescent="0.25">
      <c r="A751" s="2" t="s">
        <v>51</v>
      </c>
      <c r="B751" s="2" t="s">
        <v>3</v>
      </c>
      <c r="C751" s="2">
        <v>4</v>
      </c>
      <c r="D751" s="2">
        <v>4</v>
      </c>
      <c r="E751" s="2">
        <v>3</v>
      </c>
      <c r="F751" s="2">
        <v>1</v>
      </c>
      <c r="G751" s="2">
        <v>0</v>
      </c>
    </row>
    <row r="752" spans="1:7" x14ac:dyDescent="0.25">
      <c r="A752" s="2" t="s">
        <v>51</v>
      </c>
      <c r="B752" s="2" t="s">
        <v>11</v>
      </c>
      <c r="C752" s="2">
        <v>6</v>
      </c>
      <c r="D752" s="2">
        <v>6</v>
      </c>
      <c r="E752" s="2">
        <v>6</v>
      </c>
      <c r="F752" s="2">
        <v>0</v>
      </c>
      <c r="G752" s="2">
        <v>0</v>
      </c>
    </row>
    <row r="753" spans="1:7" x14ac:dyDescent="0.25">
      <c r="A753" s="2" t="s">
        <v>51</v>
      </c>
      <c r="B753" s="2" t="s">
        <v>174</v>
      </c>
      <c r="C753" s="2">
        <v>22</v>
      </c>
      <c r="D753" s="2">
        <v>19</v>
      </c>
      <c r="E753" s="2">
        <v>17</v>
      </c>
      <c r="F753" s="2">
        <v>2</v>
      </c>
      <c r="G753" s="2">
        <v>2</v>
      </c>
    </row>
    <row r="754" spans="1:7" x14ac:dyDescent="0.25">
      <c r="A754" s="2" t="s">
        <v>51</v>
      </c>
      <c r="B754" s="2" t="s">
        <v>175</v>
      </c>
      <c r="C754" s="2">
        <v>7</v>
      </c>
      <c r="D754" s="2">
        <v>7</v>
      </c>
      <c r="E754" s="2">
        <v>5</v>
      </c>
      <c r="F754" s="2">
        <v>2</v>
      </c>
      <c r="G754" s="2">
        <v>0</v>
      </c>
    </row>
    <row r="755" spans="1:7" x14ac:dyDescent="0.25">
      <c r="A755" s="2" t="s">
        <v>51</v>
      </c>
      <c r="B755" s="2" t="s">
        <v>176</v>
      </c>
      <c r="C755" s="2">
        <v>28</v>
      </c>
      <c r="D755" s="2">
        <v>26</v>
      </c>
      <c r="E755" s="2">
        <v>21</v>
      </c>
      <c r="F755" s="2">
        <v>5</v>
      </c>
      <c r="G755" s="2">
        <v>2</v>
      </c>
    </row>
    <row r="756" spans="1:7" x14ac:dyDescent="0.25">
      <c r="A756" s="2" t="s">
        <v>103</v>
      </c>
      <c r="B756" s="2" t="s">
        <v>3</v>
      </c>
      <c r="C756" s="2">
        <v>1</v>
      </c>
      <c r="D756" s="2">
        <v>1</v>
      </c>
      <c r="E756" s="2">
        <v>1</v>
      </c>
      <c r="F756" s="2">
        <v>0</v>
      </c>
      <c r="G756" s="2">
        <v>0</v>
      </c>
    </row>
    <row r="757" spans="1:7" x14ac:dyDescent="0.25">
      <c r="A757" s="2" t="s">
        <v>103</v>
      </c>
      <c r="B757" s="2" t="s">
        <v>11</v>
      </c>
      <c r="C757" s="2">
        <v>9</v>
      </c>
      <c r="D757" s="2">
        <v>9</v>
      </c>
      <c r="E757" s="2">
        <v>9</v>
      </c>
      <c r="F757" s="2">
        <v>0</v>
      </c>
      <c r="G757" s="2">
        <v>0</v>
      </c>
    </row>
    <row r="758" spans="1:7" x14ac:dyDescent="0.25">
      <c r="A758" s="2" t="s">
        <v>103</v>
      </c>
      <c r="B758" s="2" t="s">
        <v>174</v>
      </c>
      <c r="C758" s="2">
        <v>67</v>
      </c>
      <c r="D758" s="2">
        <v>66</v>
      </c>
      <c r="E758" s="2">
        <v>62</v>
      </c>
      <c r="F758" s="2">
        <v>4</v>
      </c>
      <c r="G758" s="2">
        <v>0</v>
      </c>
    </row>
    <row r="759" spans="1:7" x14ac:dyDescent="0.25">
      <c r="A759" s="2" t="s">
        <v>103</v>
      </c>
      <c r="B759" s="2" t="s">
        <v>175</v>
      </c>
      <c r="C759" s="2">
        <v>81</v>
      </c>
      <c r="D759" s="2">
        <v>72</v>
      </c>
      <c r="E759" s="2">
        <v>59</v>
      </c>
      <c r="F759" s="2">
        <v>13</v>
      </c>
      <c r="G759" s="2">
        <v>4</v>
      </c>
    </row>
    <row r="760" spans="1:7" x14ac:dyDescent="0.25">
      <c r="A760" s="2" t="s">
        <v>103</v>
      </c>
      <c r="B760" s="2" t="s">
        <v>182</v>
      </c>
      <c r="C760" s="2">
        <v>1</v>
      </c>
      <c r="D760" s="2">
        <v>1</v>
      </c>
      <c r="E760" s="2">
        <v>1</v>
      </c>
      <c r="F760" s="2">
        <v>0</v>
      </c>
      <c r="G760" s="2">
        <v>0</v>
      </c>
    </row>
    <row r="761" spans="1:7" x14ac:dyDescent="0.25">
      <c r="A761" s="2" t="s">
        <v>103</v>
      </c>
      <c r="B761" s="2" t="s">
        <v>176</v>
      </c>
      <c r="C761" s="2">
        <v>107</v>
      </c>
      <c r="D761" s="2">
        <v>103</v>
      </c>
      <c r="E761" s="2">
        <v>99</v>
      </c>
      <c r="F761" s="2">
        <v>4</v>
      </c>
      <c r="G761" s="2">
        <v>1</v>
      </c>
    </row>
    <row r="762" spans="1:7" x14ac:dyDescent="0.25">
      <c r="A762" s="2" t="s">
        <v>129</v>
      </c>
      <c r="B762" s="2" t="s">
        <v>11</v>
      </c>
      <c r="C762" s="2">
        <v>7</v>
      </c>
      <c r="D762" s="2">
        <v>7</v>
      </c>
      <c r="E762" s="2">
        <v>5</v>
      </c>
      <c r="F762" s="2">
        <v>2</v>
      </c>
      <c r="G762" s="2">
        <v>0</v>
      </c>
    </row>
    <row r="763" spans="1:7" x14ac:dyDescent="0.25">
      <c r="A763" s="2" t="s">
        <v>129</v>
      </c>
      <c r="B763" s="2" t="s">
        <v>174</v>
      </c>
      <c r="C763" s="2">
        <v>17</v>
      </c>
      <c r="D763" s="2">
        <v>16</v>
      </c>
      <c r="E763" s="2">
        <v>13</v>
      </c>
      <c r="F763" s="2">
        <v>3</v>
      </c>
      <c r="G763" s="2">
        <v>0</v>
      </c>
    </row>
    <row r="764" spans="1:7" x14ac:dyDescent="0.25">
      <c r="A764" s="2" t="s">
        <v>129</v>
      </c>
      <c r="B764" s="2" t="s">
        <v>175</v>
      </c>
      <c r="C764" s="2">
        <v>38</v>
      </c>
      <c r="D764" s="2">
        <v>38</v>
      </c>
      <c r="E764" s="2">
        <v>30</v>
      </c>
      <c r="F764" s="2">
        <v>8</v>
      </c>
      <c r="G764" s="2">
        <v>0</v>
      </c>
    </row>
    <row r="765" spans="1:7" x14ac:dyDescent="0.25">
      <c r="A765" s="2" t="s">
        <v>129</v>
      </c>
      <c r="B765" s="2" t="s">
        <v>176</v>
      </c>
      <c r="C765" s="2">
        <v>32</v>
      </c>
      <c r="D765" s="2">
        <v>32</v>
      </c>
      <c r="E765" s="2">
        <v>27</v>
      </c>
      <c r="F765" s="2">
        <v>5</v>
      </c>
      <c r="G765" s="2">
        <v>0</v>
      </c>
    </row>
    <row r="766" spans="1:7" x14ac:dyDescent="0.25">
      <c r="A766" s="2" t="s">
        <v>100</v>
      </c>
      <c r="B766" s="2" t="s">
        <v>3</v>
      </c>
      <c r="C766" s="2">
        <v>3</v>
      </c>
      <c r="D766" s="2">
        <v>3</v>
      </c>
      <c r="E766" s="2">
        <v>3</v>
      </c>
      <c r="F766" s="2">
        <v>0</v>
      </c>
      <c r="G766" s="2">
        <v>0</v>
      </c>
    </row>
    <row r="767" spans="1:7" x14ac:dyDescent="0.25">
      <c r="A767" s="2" t="s">
        <v>100</v>
      </c>
      <c r="B767" s="2" t="s">
        <v>11</v>
      </c>
      <c r="C767" s="2">
        <v>7</v>
      </c>
      <c r="D767" s="2">
        <v>7</v>
      </c>
      <c r="E767" s="2">
        <v>4</v>
      </c>
      <c r="F767" s="2">
        <v>3</v>
      </c>
      <c r="G767" s="2">
        <v>0</v>
      </c>
    </row>
    <row r="768" spans="1:7" x14ac:dyDescent="0.25">
      <c r="A768" s="2" t="s">
        <v>100</v>
      </c>
      <c r="B768" s="2" t="s">
        <v>174</v>
      </c>
      <c r="C768" s="2">
        <v>11</v>
      </c>
      <c r="D768" s="2">
        <v>11</v>
      </c>
      <c r="E768" s="2">
        <v>9</v>
      </c>
      <c r="F768" s="2">
        <v>2</v>
      </c>
      <c r="G768" s="2">
        <v>0</v>
      </c>
    </row>
    <row r="769" spans="1:13" x14ac:dyDescent="0.25">
      <c r="A769" s="2" t="s">
        <v>100</v>
      </c>
      <c r="B769" s="2" t="s">
        <v>175</v>
      </c>
      <c r="C769" s="2">
        <v>81</v>
      </c>
      <c r="D769" s="2">
        <v>79</v>
      </c>
      <c r="E769" s="2">
        <v>61</v>
      </c>
      <c r="F769" s="2">
        <v>18</v>
      </c>
      <c r="G769" s="2">
        <v>1</v>
      </c>
    </row>
    <row r="770" spans="1:13" x14ac:dyDescent="0.25">
      <c r="A770" s="2" t="s">
        <v>100</v>
      </c>
      <c r="B770" s="2" t="s">
        <v>176</v>
      </c>
      <c r="C770" s="2">
        <v>33</v>
      </c>
      <c r="D770" s="2">
        <v>33</v>
      </c>
      <c r="E770" s="2">
        <v>31</v>
      </c>
      <c r="F770" s="2">
        <v>2</v>
      </c>
      <c r="G770" s="2">
        <v>0</v>
      </c>
    </row>
    <row r="771" spans="1:13" x14ac:dyDescent="0.25">
      <c r="A771" s="2" t="s">
        <v>61</v>
      </c>
      <c r="B771" s="2" t="s">
        <v>3</v>
      </c>
      <c r="C771" s="2">
        <v>5</v>
      </c>
      <c r="D771" s="2">
        <v>4</v>
      </c>
      <c r="E771" s="2">
        <v>1</v>
      </c>
      <c r="F771" s="2">
        <v>3</v>
      </c>
      <c r="G771" s="2">
        <v>0</v>
      </c>
    </row>
    <row r="772" spans="1:13" x14ac:dyDescent="0.25">
      <c r="A772" s="2" t="s">
        <v>61</v>
      </c>
      <c r="B772" s="2" t="s">
        <v>11</v>
      </c>
      <c r="C772" s="2">
        <v>79</v>
      </c>
      <c r="D772" s="2">
        <v>79</v>
      </c>
      <c r="E772" s="2">
        <v>74</v>
      </c>
      <c r="F772" s="2">
        <v>5</v>
      </c>
      <c r="G772" s="2">
        <v>0</v>
      </c>
    </row>
    <row r="773" spans="1:13" x14ac:dyDescent="0.25">
      <c r="A773" s="2" t="s">
        <v>61</v>
      </c>
      <c r="B773" s="2" t="s">
        <v>174</v>
      </c>
      <c r="C773" s="2">
        <v>79</v>
      </c>
      <c r="D773" s="2">
        <v>79</v>
      </c>
      <c r="E773" s="2">
        <v>74</v>
      </c>
      <c r="F773" s="2">
        <v>5</v>
      </c>
      <c r="G773" s="2">
        <v>0</v>
      </c>
    </row>
    <row r="774" spans="1:13" x14ac:dyDescent="0.25">
      <c r="A774" s="2" t="s">
        <v>61</v>
      </c>
      <c r="B774" s="2" t="s">
        <v>175</v>
      </c>
      <c r="C774" s="2">
        <v>160</v>
      </c>
      <c r="D774" s="2">
        <v>153</v>
      </c>
      <c r="E774" s="2">
        <v>127</v>
      </c>
      <c r="F774" s="2">
        <v>26</v>
      </c>
      <c r="G774" s="2">
        <v>0</v>
      </c>
    </row>
    <row r="775" spans="1:13" x14ac:dyDescent="0.25">
      <c r="A775" s="2" t="s">
        <v>61</v>
      </c>
      <c r="B775" s="2" t="s">
        <v>176</v>
      </c>
      <c r="C775" s="2">
        <v>98</v>
      </c>
      <c r="D775" s="2">
        <v>96</v>
      </c>
      <c r="E775" s="2">
        <v>89</v>
      </c>
      <c r="F775" s="2">
        <v>7</v>
      </c>
      <c r="G775" s="2">
        <v>2</v>
      </c>
      <c r="I775">
        <f>+SUM(C648:C775)</f>
        <v>5453</v>
      </c>
      <c r="J775">
        <f t="shared" ref="J775:M775" si="0">+SUM(D648:D775)</f>
        <v>5143</v>
      </c>
      <c r="K775">
        <f t="shared" si="0"/>
        <v>3908</v>
      </c>
      <c r="L775">
        <f t="shared" si="0"/>
        <v>1235</v>
      </c>
      <c r="M775">
        <f t="shared" si="0"/>
        <v>36</v>
      </c>
    </row>
    <row r="776" spans="1:13" x14ac:dyDescent="0.25">
      <c r="A776" s="3" t="s">
        <v>190</v>
      </c>
      <c r="B776" s="3" t="s">
        <v>3</v>
      </c>
      <c r="C776" s="3">
        <v>8</v>
      </c>
      <c r="D776" s="3">
        <v>5</v>
      </c>
      <c r="E776" s="3">
        <v>3</v>
      </c>
      <c r="F776" s="3">
        <v>2</v>
      </c>
      <c r="G776" s="3">
        <v>0</v>
      </c>
    </row>
    <row r="777" spans="1:13" x14ac:dyDescent="0.25">
      <c r="A777" s="3" t="s">
        <v>190</v>
      </c>
      <c r="B777" s="3" t="s">
        <v>174</v>
      </c>
      <c r="C777" s="3">
        <v>118</v>
      </c>
      <c r="D777" s="3">
        <v>107</v>
      </c>
      <c r="E777" s="3">
        <v>62</v>
      </c>
      <c r="F777" s="3">
        <v>45</v>
      </c>
      <c r="G777" s="3">
        <v>3</v>
      </c>
    </row>
    <row r="778" spans="1:13" x14ac:dyDescent="0.25">
      <c r="A778" s="3" t="s">
        <v>190</v>
      </c>
      <c r="B778" s="3" t="s">
        <v>176</v>
      </c>
      <c r="C778" s="3">
        <v>92</v>
      </c>
      <c r="D778" s="3">
        <v>84</v>
      </c>
      <c r="E778" s="3">
        <v>48</v>
      </c>
      <c r="F778" s="3">
        <v>36</v>
      </c>
      <c r="G778" s="3">
        <v>0</v>
      </c>
    </row>
    <row r="779" spans="1:13" x14ac:dyDescent="0.25">
      <c r="A779" s="3" t="s">
        <v>190</v>
      </c>
      <c r="B779" s="3" t="s">
        <v>175</v>
      </c>
      <c r="C779" s="3">
        <v>442</v>
      </c>
      <c r="D779" s="3">
        <v>372</v>
      </c>
      <c r="E779" s="3">
        <v>201</v>
      </c>
      <c r="F779" s="3">
        <v>171</v>
      </c>
      <c r="G779" s="3">
        <v>3</v>
      </c>
    </row>
    <row r="780" spans="1:13" x14ac:dyDescent="0.25">
      <c r="A780" s="3" t="s">
        <v>190</v>
      </c>
      <c r="B780" s="3" t="s">
        <v>11</v>
      </c>
      <c r="C780" s="3">
        <v>89</v>
      </c>
      <c r="D780" s="3">
        <v>82</v>
      </c>
      <c r="E780" s="3">
        <v>41</v>
      </c>
      <c r="F780" s="3">
        <v>41</v>
      </c>
      <c r="G780" s="3">
        <v>1</v>
      </c>
    </row>
    <row r="781" spans="1:13" x14ac:dyDescent="0.25">
      <c r="A781" s="3" t="s">
        <v>190</v>
      </c>
      <c r="B781" s="3" t="s">
        <v>182</v>
      </c>
      <c r="C781" s="3">
        <v>4</v>
      </c>
      <c r="D781" s="3">
        <v>4</v>
      </c>
      <c r="E781" s="3">
        <v>3</v>
      </c>
      <c r="F781" s="3">
        <v>1</v>
      </c>
      <c r="G781" s="3">
        <v>0</v>
      </c>
    </row>
    <row r="782" spans="1:13" x14ac:dyDescent="0.25">
      <c r="A782" s="3" t="s">
        <v>72</v>
      </c>
      <c r="B782" s="3" t="s">
        <v>174</v>
      </c>
      <c r="C782" s="3">
        <v>50</v>
      </c>
      <c r="D782" s="3">
        <v>50</v>
      </c>
      <c r="E782" s="3">
        <v>38</v>
      </c>
      <c r="F782" s="3">
        <v>12</v>
      </c>
      <c r="G782" s="3">
        <v>0</v>
      </c>
    </row>
    <row r="783" spans="1:13" x14ac:dyDescent="0.25">
      <c r="A783" s="3" t="s">
        <v>72</v>
      </c>
      <c r="B783" s="3" t="s">
        <v>11</v>
      </c>
      <c r="C783" s="3">
        <v>38</v>
      </c>
      <c r="D783" s="3">
        <v>37</v>
      </c>
      <c r="E783" s="3">
        <v>34</v>
      </c>
      <c r="F783" s="3">
        <v>3</v>
      </c>
      <c r="G783" s="3">
        <v>0</v>
      </c>
    </row>
    <row r="784" spans="1:13" x14ac:dyDescent="0.25">
      <c r="A784" s="3" t="s">
        <v>72</v>
      </c>
      <c r="B784" s="3" t="s">
        <v>176</v>
      </c>
      <c r="C784" s="3">
        <v>44</v>
      </c>
      <c r="D784" s="3">
        <v>43</v>
      </c>
      <c r="E784" s="3">
        <v>36</v>
      </c>
      <c r="F784" s="3">
        <v>7</v>
      </c>
      <c r="G784" s="3">
        <v>0</v>
      </c>
    </row>
    <row r="785" spans="1:7" x14ac:dyDescent="0.25">
      <c r="A785" s="3" t="s">
        <v>72</v>
      </c>
      <c r="B785" s="3" t="s">
        <v>175</v>
      </c>
      <c r="C785" s="3">
        <v>23</v>
      </c>
      <c r="D785" s="3">
        <v>23</v>
      </c>
      <c r="E785" s="3">
        <v>22</v>
      </c>
      <c r="F785" s="3">
        <v>1</v>
      </c>
      <c r="G785" s="3">
        <v>0</v>
      </c>
    </row>
    <row r="786" spans="1:7" x14ac:dyDescent="0.25">
      <c r="A786" s="3" t="s">
        <v>109</v>
      </c>
      <c r="B786" s="3" t="s">
        <v>3</v>
      </c>
      <c r="C786" s="3">
        <v>1</v>
      </c>
      <c r="D786" s="3">
        <v>1</v>
      </c>
      <c r="E786" s="3">
        <v>1</v>
      </c>
      <c r="F786" s="3">
        <v>0</v>
      </c>
      <c r="G786" s="3">
        <v>0</v>
      </c>
    </row>
    <row r="787" spans="1:7" x14ac:dyDescent="0.25">
      <c r="A787" s="3" t="s">
        <v>109</v>
      </c>
      <c r="B787" s="3" t="s">
        <v>174</v>
      </c>
      <c r="C787" s="3">
        <v>11</v>
      </c>
      <c r="D787" s="3">
        <v>11</v>
      </c>
      <c r="E787" s="3">
        <v>9</v>
      </c>
      <c r="F787" s="3">
        <v>2</v>
      </c>
      <c r="G787" s="3">
        <v>0</v>
      </c>
    </row>
    <row r="788" spans="1:7" x14ac:dyDescent="0.25">
      <c r="A788" s="3" t="s">
        <v>109</v>
      </c>
      <c r="B788" s="3" t="s">
        <v>11</v>
      </c>
      <c r="C788" s="3">
        <v>9</v>
      </c>
      <c r="D788" s="3">
        <v>9</v>
      </c>
      <c r="E788" s="3">
        <v>9</v>
      </c>
      <c r="F788" s="3">
        <v>0</v>
      </c>
      <c r="G788" s="3">
        <v>0</v>
      </c>
    </row>
    <row r="789" spans="1:7" x14ac:dyDescent="0.25">
      <c r="A789" s="3" t="s">
        <v>109</v>
      </c>
      <c r="B789" s="3" t="s">
        <v>176</v>
      </c>
      <c r="C789" s="3">
        <v>17</v>
      </c>
      <c r="D789" s="3">
        <v>17</v>
      </c>
      <c r="E789" s="3">
        <v>14</v>
      </c>
      <c r="F789" s="3">
        <v>3</v>
      </c>
      <c r="G789" s="3">
        <v>0</v>
      </c>
    </row>
    <row r="790" spans="1:7" x14ac:dyDescent="0.25">
      <c r="A790" s="3" t="s">
        <v>109</v>
      </c>
      <c r="B790" s="3" t="s">
        <v>175</v>
      </c>
      <c r="C790" s="3">
        <v>14</v>
      </c>
      <c r="D790" s="3">
        <v>13</v>
      </c>
      <c r="E790" s="3">
        <v>8</v>
      </c>
      <c r="F790" s="3">
        <v>5</v>
      </c>
      <c r="G790" s="3">
        <v>0</v>
      </c>
    </row>
    <row r="791" spans="1:7" x14ac:dyDescent="0.25">
      <c r="A791" s="3" t="s">
        <v>133</v>
      </c>
      <c r="B791" s="3" t="s">
        <v>175</v>
      </c>
      <c r="C791" s="3">
        <v>32</v>
      </c>
      <c r="D791" s="3">
        <v>27</v>
      </c>
      <c r="E791" s="3">
        <v>23</v>
      </c>
      <c r="F791" s="3">
        <v>4</v>
      </c>
      <c r="G791" s="3">
        <v>0</v>
      </c>
    </row>
    <row r="792" spans="1:7" x14ac:dyDescent="0.25">
      <c r="A792" s="3" t="s">
        <v>133</v>
      </c>
      <c r="B792" s="3" t="s">
        <v>11</v>
      </c>
      <c r="C792" s="3">
        <v>20</v>
      </c>
      <c r="D792" s="3">
        <v>19</v>
      </c>
      <c r="E792" s="3">
        <v>14</v>
      </c>
      <c r="F792" s="3">
        <v>5</v>
      </c>
      <c r="G792" s="3">
        <v>0</v>
      </c>
    </row>
    <row r="793" spans="1:7" x14ac:dyDescent="0.25">
      <c r="A793" s="3" t="s">
        <v>133</v>
      </c>
      <c r="B793" s="3" t="s">
        <v>176</v>
      </c>
      <c r="C793" s="3">
        <v>29</v>
      </c>
      <c r="D793" s="3">
        <v>29</v>
      </c>
      <c r="E793" s="3">
        <v>24</v>
      </c>
      <c r="F793" s="3">
        <v>5</v>
      </c>
      <c r="G793" s="3">
        <v>0</v>
      </c>
    </row>
    <row r="794" spans="1:7" x14ac:dyDescent="0.25">
      <c r="A794" s="3" t="s">
        <v>133</v>
      </c>
      <c r="B794" s="3" t="s">
        <v>174</v>
      </c>
      <c r="C794" s="3">
        <v>16</v>
      </c>
      <c r="D794" s="3">
        <v>16</v>
      </c>
      <c r="E794" s="3">
        <v>14</v>
      </c>
      <c r="F794" s="3">
        <v>2</v>
      </c>
      <c r="G794" s="3">
        <v>0</v>
      </c>
    </row>
    <row r="795" spans="1:7" x14ac:dyDescent="0.25">
      <c r="A795" s="3" t="s">
        <v>96</v>
      </c>
      <c r="B795" s="3" t="s">
        <v>174</v>
      </c>
      <c r="C795" s="3">
        <v>5</v>
      </c>
      <c r="D795" s="3">
        <v>5</v>
      </c>
      <c r="E795" s="3">
        <v>5</v>
      </c>
      <c r="F795" s="3">
        <v>0</v>
      </c>
      <c r="G795" s="3">
        <v>0</v>
      </c>
    </row>
    <row r="796" spans="1:7" x14ac:dyDescent="0.25">
      <c r="A796" s="3" t="s">
        <v>96</v>
      </c>
      <c r="B796" s="3" t="s">
        <v>176</v>
      </c>
      <c r="C796" s="3">
        <v>23</v>
      </c>
      <c r="D796" s="3">
        <v>23</v>
      </c>
      <c r="E796" s="3">
        <v>16</v>
      </c>
      <c r="F796" s="3">
        <v>7</v>
      </c>
      <c r="G796" s="3">
        <v>0</v>
      </c>
    </row>
    <row r="797" spans="1:7" x14ac:dyDescent="0.25">
      <c r="A797" s="3" t="s">
        <v>96</v>
      </c>
      <c r="B797" s="3" t="s">
        <v>11</v>
      </c>
      <c r="C797" s="3">
        <v>9</v>
      </c>
      <c r="D797" s="3">
        <v>9</v>
      </c>
      <c r="E797" s="3">
        <v>7</v>
      </c>
      <c r="F797" s="3">
        <v>2</v>
      </c>
      <c r="G797" s="3">
        <v>0</v>
      </c>
    </row>
    <row r="798" spans="1:7" x14ac:dyDescent="0.25">
      <c r="A798" s="3" t="s">
        <v>96</v>
      </c>
      <c r="B798" s="3" t="s">
        <v>175</v>
      </c>
      <c r="C798" s="3">
        <v>6</v>
      </c>
      <c r="D798" s="3">
        <v>5</v>
      </c>
      <c r="E798" s="3">
        <v>4</v>
      </c>
      <c r="F798" s="3">
        <v>1</v>
      </c>
      <c r="G798" s="3">
        <v>0</v>
      </c>
    </row>
    <row r="799" spans="1:7" x14ac:dyDescent="0.25">
      <c r="A799" s="3" t="s">
        <v>94</v>
      </c>
      <c r="B799" s="3" t="s">
        <v>11</v>
      </c>
      <c r="C799" s="3">
        <v>14</v>
      </c>
      <c r="D799" s="3">
        <v>14</v>
      </c>
      <c r="E799" s="3">
        <v>13</v>
      </c>
      <c r="F799" s="3">
        <v>1</v>
      </c>
      <c r="G799" s="3">
        <v>0</v>
      </c>
    </row>
    <row r="800" spans="1:7" x14ac:dyDescent="0.25">
      <c r="A800" s="3" t="s">
        <v>94</v>
      </c>
      <c r="B800" s="3" t="s">
        <v>176</v>
      </c>
      <c r="C800" s="3">
        <v>22</v>
      </c>
      <c r="D800" s="3">
        <v>21</v>
      </c>
      <c r="E800" s="3">
        <v>18</v>
      </c>
      <c r="F800" s="3">
        <v>3</v>
      </c>
      <c r="G800" s="3">
        <v>1</v>
      </c>
    </row>
    <row r="801" spans="1:7" x14ac:dyDescent="0.25">
      <c r="A801" s="3" t="s">
        <v>94</v>
      </c>
      <c r="B801" s="3" t="s">
        <v>175</v>
      </c>
      <c r="C801" s="3">
        <v>41</v>
      </c>
      <c r="D801" s="3">
        <v>38</v>
      </c>
      <c r="E801" s="3">
        <v>32</v>
      </c>
      <c r="F801" s="3">
        <v>6</v>
      </c>
      <c r="G801" s="3">
        <v>0</v>
      </c>
    </row>
    <row r="802" spans="1:7" x14ac:dyDescent="0.25">
      <c r="A802" s="3" t="s">
        <v>94</v>
      </c>
      <c r="B802" s="3" t="s">
        <v>174</v>
      </c>
      <c r="C802" s="3">
        <v>22</v>
      </c>
      <c r="D802" s="3">
        <v>22</v>
      </c>
      <c r="E802" s="3">
        <v>19</v>
      </c>
      <c r="F802" s="3">
        <v>3</v>
      </c>
      <c r="G802" s="3">
        <v>0</v>
      </c>
    </row>
    <row r="803" spans="1:7" x14ac:dyDescent="0.25">
      <c r="A803" s="3" t="s">
        <v>29</v>
      </c>
      <c r="B803" s="3" t="s">
        <v>174</v>
      </c>
      <c r="C803" s="3">
        <v>12</v>
      </c>
      <c r="D803" s="3">
        <v>11</v>
      </c>
      <c r="E803" s="3">
        <v>8</v>
      </c>
      <c r="F803" s="3">
        <v>3</v>
      </c>
      <c r="G803" s="3">
        <v>1</v>
      </c>
    </row>
    <row r="804" spans="1:7" x14ac:dyDescent="0.25">
      <c r="A804" s="3" t="s">
        <v>29</v>
      </c>
      <c r="B804" s="3" t="s">
        <v>175</v>
      </c>
      <c r="C804" s="3">
        <v>35</v>
      </c>
      <c r="D804" s="3">
        <v>35</v>
      </c>
      <c r="E804" s="3">
        <v>31</v>
      </c>
      <c r="F804" s="3">
        <v>4</v>
      </c>
      <c r="G804" s="3">
        <v>0</v>
      </c>
    </row>
    <row r="805" spans="1:7" x14ac:dyDescent="0.25">
      <c r="A805" s="3" t="s">
        <v>29</v>
      </c>
      <c r="B805" s="3" t="s">
        <v>176</v>
      </c>
      <c r="C805" s="3">
        <v>20</v>
      </c>
      <c r="D805" s="3">
        <v>19</v>
      </c>
      <c r="E805" s="3">
        <v>14</v>
      </c>
      <c r="F805" s="3">
        <v>5</v>
      </c>
      <c r="G805" s="3">
        <v>0</v>
      </c>
    </row>
    <row r="806" spans="1:7" x14ac:dyDescent="0.25">
      <c r="A806" s="3" t="s">
        <v>29</v>
      </c>
      <c r="B806" s="3" t="s">
        <v>11</v>
      </c>
      <c r="C806" s="3">
        <v>9</v>
      </c>
      <c r="D806" s="3">
        <v>8</v>
      </c>
      <c r="E806" s="3">
        <v>7</v>
      </c>
      <c r="F806" s="3">
        <v>1</v>
      </c>
      <c r="G806" s="3">
        <v>1</v>
      </c>
    </row>
    <row r="807" spans="1:7" x14ac:dyDescent="0.25">
      <c r="A807" s="3" t="s">
        <v>95</v>
      </c>
      <c r="B807" s="3" t="s">
        <v>176</v>
      </c>
      <c r="C807" s="3">
        <v>12</v>
      </c>
      <c r="D807" s="3">
        <v>12</v>
      </c>
      <c r="E807" s="3">
        <v>9</v>
      </c>
      <c r="F807" s="3">
        <v>3</v>
      </c>
      <c r="G807" s="3">
        <v>0</v>
      </c>
    </row>
    <row r="808" spans="1:7" x14ac:dyDescent="0.25">
      <c r="A808" s="3" t="s">
        <v>95</v>
      </c>
      <c r="B808" s="3" t="s">
        <v>174</v>
      </c>
      <c r="C808" s="3">
        <v>7</v>
      </c>
      <c r="D808" s="3">
        <v>7</v>
      </c>
      <c r="E808" s="3">
        <v>6</v>
      </c>
      <c r="F808" s="3">
        <v>1</v>
      </c>
      <c r="G808" s="3">
        <v>0</v>
      </c>
    </row>
    <row r="809" spans="1:7" x14ac:dyDescent="0.25">
      <c r="A809" s="3" t="s">
        <v>95</v>
      </c>
      <c r="B809" s="3" t="s">
        <v>175</v>
      </c>
      <c r="C809" s="3">
        <v>16</v>
      </c>
      <c r="D809" s="3">
        <v>16</v>
      </c>
      <c r="E809" s="3">
        <v>15</v>
      </c>
      <c r="F809" s="3">
        <v>1</v>
      </c>
      <c r="G809" s="3">
        <v>0</v>
      </c>
    </row>
    <row r="810" spans="1:7" x14ac:dyDescent="0.25">
      <c r="A810" s="3" t="s">
        <v>95</v>
      </c>
      <c r="B810" s="3" t="s">
        <v>11</v>
      </c>
      <c r="C810" s="3">
        <v>4</v>
      </c>
      <c r="D810" s="3">
        <v>4</v>
      </c>
      <c r="E810" s="3">
        <v>2</v>
      </c>
      <c r="F810" s="3">
        <v>2</v>
      </c>
      <c r="G810" s="3">
        <v>0</v>
      </c>
    </row>
    <row r="811" spans="1:7" x14ac:dyDescent="0.25">
      <c r="A811" s="3" t="s">
        <v>71</v>
      </c>
      <c r="B811" s="3" t="s">
        <v>3</v>
      </c>
      <c r="C811" s="3">
        <v>4</v>
      </c>
      <c r="D811" s="3">
        <v>2</v>
      </c>
      <c r="E811" s="3">
        <v>2</v>
      </c>
      <c r="F811" s="3">
        <v>0</v>
      </c>
      <c r="G811" s="3">
        <v>0</v>
      </c>
    </row>
    <row r="812" spans="1:7" x14ac:dyDescent="0.25">
      <c r="A812" s="3" t="s">
        <v>71</v>
      </c>
      <c r="B812" s="3" t="s">
        <v>176</v>
      </c>
      <c r="C812" s="3">
        <v>22</v>
      </c>
      <c r="D812" s="3">
        <v>21</v>
      </c>
      <c r="E812" s="3">
        <v>11</v>
      </c>
      <c r="F812" s="3">
        <v>10</v>
      </c>
      <c r="G812" s="3">
        <v>0</v>
      </c>
    </row>
    <row r="813" spans="1:7" x14ac:dyDescent="0.25">
      <c r="A813" s="3" t="s">
        <v>71</v>
      </c>
      <c r="B813" s="3" t="s">
        <v>175</v>
      </c>
      <c r="C813" s="3">
        <v>15</v>
      </c>
      <c r="D813" s="3">
        <v>15</v>
      </c>
      <c r="E813" s="3">
        <v>9</v>
      </c>
      <c r="F813" s="3">
        <v>6</v>
      </c>
      <c r="G813" s="3">
        <v>0</v>
      </c>
    </row>
    <row r="814" spans="1:7" x14ac:dyDescent="0.25">
      <c r="A814" s="3" t="s">
        <v>71</v>
      </c>
      <c r="B814" s="3" t="s">
        <v>174</v>
      </c>
      <c r="C814" s="3">
        <v>18</v>
      </c>
      <c r="D814" s="3">
        <v>18</v>
      </c>
      <c r="E814" s="3">
        <v>16</v>
      </c>
      <c r="F814" s="3">
        <v>2</v>
      </c>
      <c r="G814" s="3">
        <v>0</v>
      </c>
    </row>
    <row r="815" spans="1:7" x14ac:dyDescent="0.25">
      <c r="A815" s="3" t="s">
        <v>71</v>
      </c>
      <c r="B815" s="3" t="s">
        <v>11</v>
      </c>
      <c r="C815" s="3">
        <v>1</v>
      </c>
      <c r="D815" s="3">
        <v>1</v>
      </c>
      <c r="E815" s="3">
        <v>1</v>
      </c>
      <c r="F815" s="3">
        <v>0</v>
      </c>
      <c r="G815" s="3">
        <v>0</v>
      </c>
    </row>
    <row r="816" spans="1:7" x14ac:dyDescent="0.25">
      <c r="A816" s="3" t="s">
        <v>18</v>
      </c>
      <c r="B816" s="3" t="s">
        <v>176</v>
      </c>
      <c r="C816" s="3">
        <v>32</v>
      </c>
      <c r="D816" s="3">
        <v>32</v>
      </c>
      <c r="E816" s="3">
        <v>31</v>
      </c>
      <c r="F816" s="3">
        <v>1</v>
      </c>
      <c r="G816" s="3">
        <v>0</v>
      </c>
    </row>
    <row r="817" spans="1:7" x14ac:dyDescent="0.25">
      <c r="A817" s="3" t="s">
        <v>18</v>
      </c>
      <c r="B817" s="3" t="s">
        <v>11</v>
      </c>
      <c r="C817" s="3">
        <v>27</v>
      </c>
      <c r="D817" s="3">
        <v>27</v>
      </c>
      <c r="E817" s="3">
        <v>24</v>
      </c>
      <c r="F817" s="3">
        <v>3</v>
      </c>
      <c r="G817" s="3">
        <v>0</v>
      </c>
    </row>
    <row r="818" spans="1:7" x14ac:dyDescent="0.25">
      <c r="A818" s="3" t="s">
        <v>18</v>
      </c>
      <c r="B818" s="3" t="s">
        <v>175</v>
      </c>
      <c r="C818" s="3">
        <v>42</v>
      </c>
      <c r="D818" s="3">
        <v>41</v>
      </c>
      <c r="E818" s="3">
        <v>26</v>
      </c>
      <c r="F818" s="3">
        <v>15</v>
      </c>
      <c r="G818" s="3">
        <v>0</v>
      </c>
    </row>
    <row r="819" spans="1:7" x14ac:dyDescent="0.25">
      <c r="A819" s="3" t="s">
        <v>18</v>
      </c>
      <c r="B819" s="3" t="s">
        <v>174</v>
      </c>
      <c r="C819" s="3">
        <v>29</v>
      </c>
      <c r="D819" s="3">
        <v>29</v>
      </c>
      <c r="E819" s="3">
        <v>27</v>
      </c>
      <c r="F819" s="3">
        <v>2</v>
      </c>
      <c r="G819" s="3">
        <v>0</v>
      </c>
    </row>
    <row r="820" spans="1:7" x14ac:dyDescent="0.25">
      <c r="A820" s="3" t="s">
        <v>147</v>
      </c>
      <c r="B820" s="3" t="s">
        <v>175</v>
      </c>
      <c r="C820" s="3">
        <v>38</v>
      </c>
      <c r="D820" s="3">
        <v>35</v>
      </c>
      <c r="E820" s="3">
        <v>24</v>
      </c>
      <c r="F820" s="3">
        <v>11</v>
      </c>
      <c r="G820" s="3">
        <v>0</v>
      </c>
    </row>
    <row r="821" spans="1:7" x14ac:dyDescent="0.25">
      <c r="A821" s="3" t="s">
        <v>147</v>
      </c>
      <c r="B821" s="3" t="s">
        <v>11</v>
      </c>
      <c r="C821" s="3">
        <v>14</v>
      </c>
      <c r="D821" s="3">
        <v>14</v>
      </c>
      <c r="E821" s="3">
        <v>9</v>
      </c>
      <c r="F821" s="3">
        <v>5</v>
      </c>
      <c r="G821" s="3">
        <v>0</v>
      </c>
    </row>
    <row r="822" spans="1:7" x14ac:dyDescent="0.25">
      <c r="A822" s="3" t="s">
        <v>147</v>
      </c>
      <c r="B822" s="3" t="s">
        <v>176</v>
      </c>
      <c r="C822" s="3">
        <v>40</v>
      </c>
      <c r="D822" s="3">
        <v>40</v>
      </c>
      <c r="E822" s="3">
        <v>35</v>
      </c>
      <c r="F822" s="3">
        <v>5</v>
      </c>
      <c r="G822" s="3">
        <v>0</v>
      </c>
    </row>
    <row r="823" spans="1:7" x14ac:dyDescent="0.25">
      <c r="A823" s="3" t="s">
        <v>147</v>
      </c>
      <c r="B823" s="3" t="s">
        <v>174</v>
      </c>
      <c r="C823" s="3">
        <v>37</v>
      </c>
      <c r="D823" s="3">
        <v>37</v>
      </c>
      <c r="E823" s="3">
        <v>31</v>
      </c>
      <c r="F823" s="3">
        <v>6</v>
      </c>
      <c r="G823" s="3">
        <v>0</v>
      </c>
    </row>
    <row r="824" spans="1:7" x14ac:dyDescent="0.25">
      <c r="A824" s="3" t="s">
        <v>19</v>
      </c>
      <c r="B824" s="3" t="s">
        <v>176</v>
      </c>
      <c r="C824" s="3">
        <v>64</v>
      </c>
      <c r="D824" s="3">
        <v>62</v>
      </c>
      <c r="E824" s="3">
        <v>41</v>
      </c>
      <c r="F824" s="3">
        <v>21</v>
      </c>
      <c r="G824" s="3">
        <v>0</v>
      </c>
    </row>
    <row r="825" spans="1:7" x14ac:dyDescent="0.25">
      <c r="A825" s="3" t="s">
        <v>19</v>
      </c>
      <c r="B825" s="3" t="s">
        <v>174</v>
      </c>
      <c r="C825" s="3">
        <v>31</v>
      </c>
      <c r="D825" s="3">
        <v>30</v>
      </c>
      <c r="E825" s="3">
        <v>18</v>
      </c>
      <c r="F825" s="3">
        <v>12</v>
      </c>
      <c r="G825" s="3">
        <v>0</v>
      </c>
    </row>
    <row r="826" spans="1:7" x14ac:dyDescent="0.25">
      <c r="A826" s="3" t="s">
        <v>19</v>
      </c>
      <c r="B826" s="3" t="s">
        <v>182</v>
      </c>
      <c r="C826" s="3">
        <v>1</v>
      </c>
      <c r="D826" s="3">
        <v>1</v>
      </c>
      <c r="E826" s="3">
        <v>1</v>
      </c>
      <c r="F826" s="3">
        <v>0</v>
      </c>
      <c r="G826" s="3">
        <v>0</v>
      </c>
    </row>
    <row r="827" spans="1:7" x14ac:dyDescent="0.25">
      <c r="A827" s="3" t="s">
        <v>19</v>
      </c>
      <c r="B827" s="3" t="s">
        <v>175</v>
      </c>
      <c r="C827" s="3">
        <v>76</v>
      </c>
      <c r="D827" s="3">
        <v>66</v>
      </c>
      <c r="E827" s="3">
        <v>36</v>
      </c>
      <c r="F827" s="3">
        <v>30</v>
      </c>
      <c r="G827" s="3">
        <v>1</v>
      </c>
    </row>
    <row r="828" spans="1:7" x14ac:dyDescent="0.25">
      <c r="A828" s="3" t="s">
        <v>19</v>
      </c>
      <c r="B828" s="3" t="s">
        <v>11</v>
      </c>
      <c r="C828" s="3">
        <v>24</v>
      </c>
      <c r="D828" s="3">
        <v>24</v>
      </c>
      <c r="E828" s="3">
        <v>18</v>
      </c>
      <c r="F828" s="3">
        <v>6</v>
      </c>
      <c r="G828" s="3">
        <v>0</v>
      </c>
    </row>
    <row r="829" spans="1:7" x14ac:dyDescent="0.25">
      <c r="A829" s="3" t="s">
        <v>26</v>
      </c>
      <c r="B829" s="3" t="s">
        <v>11</v>
      </c>
      <c r="C829" s="3">
        <v>11</v>
      </c>
      <c r="D829" s="3">
        <v>11</v>
      </c>
      <c r="E829" s="3">
        <v>11</v>
      </c>
      <c r="F829" s="3">
        <v>0</v>
      </c>
      <c r="G829" s="3">
        <v>0</v>
      </c>
    </row>
    <row r="830" spans="1:7" x14ac:dyDescent="0.25">
      <c r="A830" s="3" t="s">
        <v>26</v>
      </c>
      <c r="B830" s="3" t="s">
        <v>174</v>
      </c>
      <c r="C830" s="3">
        <v>18</v>
      </c>
      <c r="D830" s="3">
        <v>18</v>
      </c>
      <c r="E830" s="3">
        <v>17</v>
      </c>
      <c r="F830" s="3">
        <v>1</v>
      </c>
      <c r="G830" s="3">
        <v>0</v>
      </c>
    </row>
    <row r="831" spans="1:7" x14ac:dyDescent="0.25">
      <c r="A831" s="3" t="s">
        <v>26</v>
      </c>
      <c r="B831" s="3" t="s">
        <v>176</v>
      </c>
      <c r="C831" s="3">
        <v>39</v>
      </c>
      <c r="D831" s="3">
        <v>39</v>
      </c>
      <c r="E831" s="3">
        <v>28</v>
      </c>
      <c r="F831" s="3">
        <v>11</v>
      </c>
      <c r="G831" s="3">
        <v>0</v>
      </c>
    </row>
    <row r="832" spans="1:7" x14ac:dyDescent="0.25">
      <c r="A832" s="3" t="s">
        <v>26</v>
      </c>
      <c r="B832" s="3" t="s">
        <v>175</v>
      </c>
      <c r="C832" s="3">
        <v>68</v>
      </c>
      <c r="D832" s="3">
        <v>66</v>
      </c>
      <c r="E832" s="3">
        <v>52</v>
      </c>
      <c r="F832" s="3">
        <v>14</v>
      </c>
      <c r="G832" s="3">
        <v>1</v>
      </c>
    </row>
    <row r="833" spans="1:7" x14ac:dyDescent="0.25">
      <c r="A833" s="3" t="s">
        <v>191</v>
      </c>
      <c r="B833" s="3" t="s">
        <v>11</v>
      </c>
      <c r="C833" s="3">
        <v>57</v>
      </c>
      <c r="D833" s="3">
        <v>57</v>
      </c>
      <c r="E833" s="3">
        <v>41</v>
      </c>
      <c r="F833" s="3">
        <v>16</v>
      </c>
      <c r="G833" s="3">
        <v>0</v>
      </c>
    </row>
    <row r="834" spans="1:7" x14ac:dyDescent="0.25">
      <c r="A834" s="3" t="s">
        <v>191</v>
      </c>
      <c r="B834" s="3" t="s">
        <v>176</v>
      </c>
      <c r="C834" s="3">
        <v>89</v>
      </c>
      <c r="D834" s="3">
        <v>87</v>
      </c>
      <c r="E834" s="3">
        <v>55</v>
      </c>
      <c r="F834" s="3">
        <v>32</v>
      </c>
      <c r="G834" s="3">
        <v>0</v>
      </c>
    </row>
    <row r="835" spans="1:7" x14ac:dyDescent="0.25">
      <c r="A835" s="3" t="s">
        <v>191</v>
      </c>
      <c r="B835" s="3" t="s">
        <v>175</v>
      </c>
      <c r="C835" s="3">
        <v>75</v>
      </c>
      <c r="D835" s="3">
        <v>71</v>
      </c>
      <c r="E835" s="3">
        <v>57</v>
      </c>
      <c r="F835" s="3">
        <v>14</v>
      </c>
      <c r="G835" s="3">
        <v>0</v>
      </c>
    </row>
    <row r="836" spans="1:7" x14ac:dyDescent="0.25">
      <c r="A836" s="3" t="s">
        <v>191</v>
      </c>
      <c r="B836" s="3" t="s">
        <v>174</v>
      </c>
      <c r="C836" s="3">
        <v>90</v>
      </c>
      <c r="D836" s="3">
        <v>87</v>
      </c>
      <c r="E836" s="3">
        <v>60</v>
      </c>
      <c r="F836" s="3">
        <v>27</v>
      </c>
      <c r="G836" s="3">
        <v>1</v>
      </c>
    </row>
    <row r="837" spans="1:7" x14ac:dyDescent="0.25">
      <c r="A837" s="3" t="s">
        <v>153</v>
      </c>
      <c r="B837" s="3" t="s">
        <v>11</v>
      </c>
      <c r="C837" s="3">
        <v>1</v>
      </c>
      <c r="D837" s="3">
        <v>1</v>
      </c>
      <c r="E837" s="3">
        <v>1</v>
      </c>
      <c r="F837" s="3">
        <v>0</v>
      </c>
      <c r="G837" s="3">
        <v>0</v>
      </c>
    </row>
    <row r="838" spans="1:7" x14ac:dyDescent="0.25">
      <c r="A838" s="3" t="s">
        <v>153</v>
      </c>
      <c r="B838" s="3" t="s">
        <v>176</v>
      </c>
      <c r="C838" s="3">
        <v>9</v>
      </c>
      <c r="D838" s="3">
        <v>9</v>
      </c>
      <c r="E838" s="3">
        <v>5</v>
      </c>
      <c r="F838" s="3">
        <v>4</v>
      </c>
      <c r="G838" s="3">
        <v>0</v>
      </c>
    </row>
    <row r="839" spans="1:7" x14ac:dyDescent="0.25">
      <c r="A839" s="3" t="s">
        <v>153</v>
      </c>
      <c r="B839" s="3" t="s">
        <v>175</v>
      </c>
      <c r="C839" s="3">
        <v>55</v>
      </c>
      <c r="D839" s="3">
        <v>46</v>
      </c>
      <c r="E839" s="3">
        <v>28</v>
      </c>
      <c r="F839" s="3">
        <v>18</v>
      </c>
      <c r="G839" s="3">
        <v>2</v>
      </c>
    </row>
    <row r="840" spans="1:7" x14ac:dyDescent="0.25">
      <c r="A840" s="3" t="s">
        <v>153</v>
      </c>
      <c r="B840" s="3" t="s">
        <v>174</v>
      </c>
      <c r="C840" s="3">
        <v>27</v>
      </c>
      <c r="D840" s="3">
        <v>27</v>
      </c>
      <c r="E840" s="3">
        <v>14</v>
      </c>
      <c r="F840" s="3">
        <v>13</v>
      </c>
      <c r="G840" s="3">
        <v>0</v>
      </c>
    </row>
    <row r="841" spans="1:7" x14ac:dyDescent="0.25">
      <c r="A841" s="3" t="s">
        <v>98</v>
      </c>
      <c r="B841" s="3" t="s">
        <v>3</v>
      </c>
      <c r="C841" s="3">
        <v>4</v>
      </c>
      <c r="D841" s="3">
        <v>2</v>
      </c>
      <c r="E841" s="3">
        <v>2</v>
      </c>
      <c r="F841" s="3">
        <v>0</v>
      </c>
      <c r="G841" s="3">
        <v>0</v>
      </c>
    </row>
    <row r="842" spans="1:7" x14ac:dyDescent="0.25">
      <c r="A842" s="3" t="s">
        <v>98</v>
      </c>
      <c r="B842" s="3" t="s">
        <v>174</v>
      </c>
      <c r="C842" s="3">
        <v>121</v>
      </c>
      <c r="D842" s="3">
        <v>106</v>
      </c>
      <c r="E842" s="3">
        <v>94</v>
      </c>
      <c r="F842" s="3">
        <v>12</v>
      </c>
      <c r="G842" s="3">
        <v>0</v>
      </c>
    </row>
    <row r="843" spans="1:7" x14ac:dyDescent="0.25">
      <c r="A843" s="3" t="s">
        <v>98</v>
      </c>
      <c r="B843" s="3" t="s">
        <v>176</v>
      </c>
      <c r="C843" s="3">
        <v>231</v>
      </c>
      <c r="D843" s="3">
        <v>210</v>
      </c>
      <c r="E843" s="3">
        <v>169</v>
      </c>
      <c r="F843" s="3">
        <v>41</v>
      </c>
      <c r="G843" s="3">
        <v>0</v>
      </c>
    </row>
    <row r="844" spans="1:7" x14ac:dyDescent="0.25">
      <c r="A844" s="3" t="s">
        <v>98</v>
      </c>
      <c r="B844" s="3" t="s">
        <v>11</v>
      </c>
      <c r="C844" s="3">
        <v>111</v>
      </c>
      <c r="D844" s="3">
        <v>90</v>
      </c>
      <c r="E844" s="3">
        <v>71</v>
      </c>
      <c r="F844" s="3">
        <v>19</v>
      </c>
      <c r="G844" s="3">
        <v>1</v>
      </c>
    </row>
    <row r="845" spans="1:7" x14ac:dyDescent="0.25">
      <c r="A845" s="3" t="s">
        <v>98</v>
      </c>
      <c r="B845" s="3" t="s">
        <v>175</v>
      </c>
      <c r="C845" s="3">
        <v>233</v>
      </c>
      <c r="D845" s="3">
        <v>206</v>
      </c>
      <c r="E845" s="3">
        <v>168</v>
      </c>
      <c r="F845" s="3">
        <v>38</v>
      </c>
      <c r="G845" s="3">
        <v>0</v>
      </c>
    </row>
    <row r="846" spans="1:7" x14ac:dyDescent="0.25">
      <c r="A846" s="3" t="s">
        <v>98</v>
      </c>
      <c r="B846" s="3" t="s">
        <v>11</v>
      </c>
      <c r="C846" s="3">
        <v>1</v>
      </c>
      <c r="D846" s="3">
        <v>1</v>
      </c>
      <c r="E846" s="3">
        <v>1</v>
      </c>
      <c r="F846" s="3">
        <v>0</v>
      </c>
      <c r="G846" s="3">
        <v>0</v>
      </c>
    </row>
    <row r="847" spans="1:7" x14ac:dyDescent="0.25">
      <c r="A847" s="3" t="s">
        <v>98</v>
      </c>
      <c r="B847" s="3" t="s">
        <v>174</v>
      </c>
      <c r="C847" s="3">
        <v>3</v>
      </c>
      <c r="D847" s="3">
        <v>3</v>
      </c>
      <c r="E847" s="3">
        <v>2</v>
      </c>
      <c r="F847" s="3">
        <v>1</v>
      </c>
      <c r="G847" s="3">
        <v>0</v>
      </c>
    </row>
    <row r="848" spans="1:7" x14ac:dyDescent="0.25">
      <c r="A848" s="3" t="s">
        <v>98</v>
      </c>
      <c r="B848" s="3" t="s">
        <v>176</v>
      </c>
      <c r="C848" s="3">
        <v>1</v>
      </c>
      <c r="D848" s="3">
        <v>1</v>
      </c>
      <c r="E848" s="3">
        <v>1</v>
      </c>
      <c r="F848" s="3">
        <v>0</v>
      </c>
      <c r="G848" s="3">
        <v>0</v>
      </c>
    </row>
    <row r="849" spans="1:7" x14ac:dyDescent="0.25">
      <c r="A849" s="3" t="s">
        <v>20</v>
      </c>
      <c r="B849" s="3" t="s">
        <v>3</v>
      </c>
      <c r="C849" s="3">
        <v>1</v>
      </c>
      <c r="D849" s="3">
        <v>0</v>
      </c>
      <c r="E849" s="3">
        <v>0</v>
      </c>
      <c r="F849" s="3">
        <v>0</v>
      </c>
      <c r="G849" s="3">
        <v>0</v>
      </c>
    </row>
    <row r="850" spans="1:7" x14ac:dyDescent="0.25">
      <c r="A850" s="3" t="s">
        <v>20</v>
      </c>
      <c r="B850" s="3" t="s">
        <v>11</v>
      </c>
      <c r="C850" s="3">
        <v>66</v>
      </c>
      <c r="D850" s="3">
        <v>65</v>
      </c>
      <c r="E850" s="3">
        <v>46</v>
      </c>
      <c r="F850" s="3">
        <v>19</v>
      </c>
      <c r="G850" s="3">
        <v>1</v>
      </c>
    </row>
    <row r="851" spans="1:7" x14ac:dyDescent="0.25">
      <c r="A851" s="3" t="s">
        <v>20</v>
      </c>
      <c r="B851" s="3" t="s">
        <v>174</v>
      </c>
      <c r="C851" s="3">
        <v>93</v>
      </c>
      <c r="D851" s="3">
        <v>92</v>
      </c>
      <c r="E851" s="3">
        <v>49</v>
      </c>
      <c r="F851" s="3">
        <v>43</v>
      </c>
      <c r="G851" s="3">
        <v>0</v>
      </c>
    </row>
    <row r="852" spans="1:7" x14ac:dyDescent="0.25">
      <c r="A852" s="3" t="s">
        <v>20</v>
      </c>
      <c r="B852" s="3" t="s">
        <v>176</v>
      </c>
      <c r="C852" s="3">
        <v>79</v>
      </c>
      <c r="D852" s="3">
        <v>76</v>
      </c>
      <c r="E852" s="3">
        <v>55</v>
      </c>
      <c r="F852" s="3">
        <v>21</v>
      </c>
      <c r="G852" s="3">
        <v>2</v>
      </c>
    </row>
    <row r="853" spans="1:7" x14ac:dyDescent="0.25">
      <c r="A853" s="3" t="s">
        <v>20</v>
      </c>
      <c r="B853" s="3" t="s">
        <v>175</v>
      </c>
      <c r="C853" s="3">
        <v>107</v>
      </c>
      <c r="D853" s="3">
        <v>104</v>
      </c>
      <c r="E853" s="3">
        <v>73</v>
      </c>
      <c r="F853" s="3">
        <v>31</v>
      </c>
      <c r="G853" s="3">
        <v>0</v>
      </c>
    </row>
    <row r="854" spans="1:7" x14ac:dyDescent="0.25">
      <c r="A854" s="3" t="s">
        <v>30</v>
      </c>
      <c r="B854" s="3" t="s">
        <v>174</v>
      </c>
      <c r="C854" s="3">
        <v>16</v>
      </c>
      <c r="D854" s="3">
        <v>16</v>
      </c>
      <c r="E854" s="3">
        <v>14</v>
      </c>
      <c r="F854" s="3">
        <v>2</v>
      </c>
      <c r="G854" s="3">
        <v>0</v>
      </c>
    </row>
    <row r="855" spans="1:7" x14ac:dyDescent="0.25">
      <c r="A855" s="3" t="s">
        <v>30</v>
      </c>
      <c r="B855" s="3" t="s">
        <v>176</v>
      </c>
      <c r="C855" s="3">
        <v>12</v>
      </c>
      <c r="D855" s="3">
        <v>12</v>
      </c>
      <c r="E855" s="3">
        <v>12</v>
      </c>
      <c r="F855" s="3">
        <v>0</v>
      </c>
      <c r="G855" s="3">
        <v>0</v>
      </c>
    </row>
    <row r="856" spans="1:7" x14ac:dyDescent="0.25">
      <c r="A856" s="3" t="s">
        <v>30</v>
      </c>
      <c r="B856" s="3" t="s">
        <v>175</v>
      </c>
      <c r="C856" s="3">
        <v>14</v>
      </c>
      <c r="D856" s="3">
        <v>13</v>
      </c>
      <c r="E856" s="3">
        <v>10</v>
      </c>
      <c r="F856" s="3">
        <v>3</v>
      </c>
      <c r="G856" s="3">
        <v>0</v>
      </c>
    </row>
    <row r="857" spans="1:7" x14ac:dyDescent="0.25">
      <c r="A857" s="3" t="s">
        <v>30</v>
      </c>
      <c r="B857" s="3" t="s">
        <v>11</v>
      </c>
      <c r="C857" s="3">
        <v>9</v>
      </c>
      <c r="D857" s="3">
        <v>9</v>
      </c>
      <c r="E857" s="3">
        <v>7</v>
      </c>
      <c r="F857" s="3">
        <v>2</v>
      </c>
      <c r="G857" s="3">
        <v>0</v>
      </c>
    </row>
    <row r="858" spans="1:7" x14ac:dyDescent="0.25">
      <c r="A858" s="3" t="s">
        <v>69</v>
      </c>
      <c r="B858" s="3" t="s">
        <v>174</v>
      </c>
      <c r="C858" s="3">
        <v>23</v>
      </c>
      <c r="D858" s="3">
        <v>21</v>
      </c>
      <c r="E858" s="3">
        <v>17</v>
      </c>
      <c r="F858" s="3">
        <v>4</v>
      </c>
      <c r="G858" s="3">
        <v>0</v>
      </c>
    </row>
    <row r="859" spans="1:7" x14ac:dyDescent="0.25">
      <c r="A859" s="3" t="s">
        <v>69</v>
      </c>
      <c r="B859" s="3" t="s">
        <v>175</v>
      </c>
      <c r="C859" s="3">
        <v>31</v>
      </c>
      <c r="D859" s="3">
        <v>28</v>
      </c>
      <c r="E859" s="3">
        <v>21</v>
      </c>
      <c r="F859" s="3">
        <v>7</v>
      </c>
      <c r="G859" s="3">
        <v>0</v>
      </c>
    </row>
    <row r="860" spans="1:7" x14ac:dyDescent="0.25">
      <c r="A860" s="3" t="s">
        <v>69</v>
      </c>
      <c r="B860" s="3" t="s">
        <v>176</v>
      </c>
      <c r="C860" s="3">
        <v>42</v>
      </c>
      <c r="D860" s="3">
        <v>42</v>
      </c>
      <c r="E860" s="3">
        <v>38</v>
      </c>
      <c r="F860" s="3">
        <v>4</v>
      </c>
      <c r="G860" s="3">
        <v>0</v>
      </c>
    </row>
    <row r="861" spans="1:7" x14ac:dyDescent="0.25">
      <c r="A861" s="3" t="s">
        <v>69</v>
      </c>
      <c r="B861" s="3" t="s">
        <v>11</v>
      </c>
      <c r="C861" s="3">
        <v>9</v>
      </c>
      <c r="D861" s="3">
        <v>8</v>
      </c>
      <c r="E861" s="3">
        <v>5</v>
      </c>
      <c r="F861" s="3">
        <v>3</v>
      </c>
      <c r="G861" s="3">
        <v>0</v>
      </c>
    </row>
    <row r="862" spans="1:7" x14ac:dyDescent="0.25">
      <c r="A862" s="3" t="s">
        <v>131</v>
      </c>
      <c r="B862" s="3" t="s">
        <v>174</v>
      </c>
      <c r="C862" s="3">
        <v>14</v>
      </c>
      <c r="D862" s="3">
        <v>14</v>
      </c>
      <c r="E862" s="3">
        <v>9</v>
      </c>
      <c r="F862" s="3">
        <v>5</v>
      </c>
      <c r="G862" s="3">
        <v>0</v>
      </c>
    </row>
    <row r="863" spans="1:7" x14ac:dyDescent="0.25">
      <c r="A863" s="3" t="s">
        <v>131</v>
      </c>
      <c r="B863" s="3" t="s">
        <v>176</v>
      </c>
      <c r="C863" s="3">
        <v>31</v>
      </c>
      <c r="D863" s="3">
        <v>29</v>
      </c>
      <c r="E863" s="3">
        <v>27</v>
      </c>
      <c r="F863" s="3">
        <v>2</v>
      </c>
      <c r="G863" s="3">
        <v>0</v>
      </c>
    </row>
    <row r="864" spans="1:7" x14ac:dyDescent="0.25">
      <c r="A864" s="3" t="s">
        <v>131</v>
      </c>
      <c r="B864" s="3" t="s">
        <v>11</v>
      </c>
      <c r="C864" s="3">
        <v>2</v>
      </c>
      <c r="D864" s="3">
        <v>2</v>
      </c>
      <c r="E864" s="3">
        <v>2</v>
      </c>
      <c r="F864" s="3">
        <v>0</v>
      </c>
      <c r="G864" s="3">
        <v>0</v>
      </c>
    </row>
    <row r="865" spans="1:7" x14ac:dyDescent="0.25">
      <c r="A865" s="3" t="s">
        <v>131</v>
      </c>
      <c r="B865" s="3" t="s">
        <v>175</v>
      </c>
      <c r="C865" s="3">
        <v>17</v>
      </c>
      <c r="D865" s="3">
        <v>16</v>
      </c>
      <c r="E865" s="3">
        <v>14</v>
      </c>
      <c r="F865" s="3">
        <v>2</v>
      </c>
      <c r="G865" s="3">
        <v>0</v>
      </c>
    </row>
    <row r="866" spans="1:7" x14ac:dyDescent="0.25">
      <c r="A866" s="3" t="s">
        <v>21</v>
      </c>
      <c r="B866" s="3" t="s">
        <v>3</v>
      </c>
      <c r="C866" s="3">
        <v>1</v>
      </c>
      <c r="D866" s="3">
        <v>1</v>
      </c>
      <c r="E866" s="3">
        <v>1</v>
      </c>
      <c r="F866" s="3">
        <v>0</v>
      </c>
      <c r="G866" s="3">
        <v>0</v>
      </c>
    </row>
    <row r="867" spans="1:7" x14ac:dyDescent="0.25">
      <c r="A867" s="3" t="s">
        <v>21</v>
      </c>
      <c r="B867" s="3" t="s">
        <v>176</v>
      </c>
      <c r="C867" s="3">
        <v>32</v>
      </c>
      <c r="D867" s="3">
        <v>32</v>
      </c>
      <c r="E867" s="3">
        <v>22</v>
      </c>
      <c r="F867" s="3">
        <v>10</v>
      </c>
      <c r="G867" s="3">
        <v>0</v>
      </c>
    </row>
    <row r="868" spans="1:7" x14ac:dyDescent="0.25">
      <c r="A868" s="3" t="s">
        <v>21</v>
      </c>
      <c r="B868" s="3" t="s">
        <v>11</v>
      </c>
      <c r="C868" s="3">
        <v>21</v>
      </c>
      <c r="D868" s="3">
        <v>21</v>
      </c>
      <c r="E868" s="3">
        <v>21</v>
      </c>
      <c r="F868" s="3">
        <v>0</v>
      </c>
      <c r="G868" s="3">
        <v>0</v>
      </c>
    </row>
    <row r="869" spans="1:7" x14ac:dyDescent="0.25">
      <c r="A869" s="3" t="s">
        <v>21</v>
      </c>
      <c r="B869" s="3" t="s">
        <v>174</v>
      </c>
      <c r="C869" s="3">
        <v>41</v>
      </c>
      <c r="D869" s="3">
        <v>41</v>
      </c>
      <c r="E869" s="3">
        <v>33</v>
      </c>
      <c r="F869" s="3">
        <v>8</v>
      </c>
      <c r="G869" s="3">
        <v>0</v>
      </c>
    </row>
    <row r="870" spans="1:7" x14ac:dyDescent="0.25">
      <c r="A870" s="3" t="s">
        <v>21</v>
      </c>
      <c r="B870" s="3" t="s">
        <v>175</v>
      </c>
      <c r="C870" s="3">
        <v>41</v>
      </c>
      <c r="D870" s="3">
        <v>40</v>
      </c>
      <c r="E870" s="3">
        <v>38</v>
      </c>
      <c r="F870" s="3">
        <v>2</v>
      </c>
      <c r="G870" s="3">
        <v>1</v>
      </c>
    </row>
    <row r="871" spans="1:7" x14ac:dyDescent="0.25">
      <c r="A871" s="3" t="s">
        <v>51</v>
      </c>
      <c r="B871" s="3" t="s">
        <v>174</v>
      </c>
      <c r="C871" s="3">
        <v>41</v>
      </c>
      <c r="D871" s="3">
        <v>34</v>
      </c>
      <c r="E871" s="3">
        <v>30</v>
      </c>
      <c r="F871" s="3">
        <v>4</v>
      </c>
      <c r="G871" s="3">
        <v>6</v>
      </c>
    </row>
    <row r="872" spans="1:7" x14ac:dyDescent="0.25">
      <c r="A872" s="3" t="s">
        <v>51</v>
      </c>
      <c r="B872" s="3" t="s">
        <v>176</v>
      </c>
      <c r="C872" s="3">
        <v>36</v>
      </c>
      <c r="D872" s="3">
        <v>34</v>
      </c>
      <c r="E872" s="3">
        <v>31</v>
      </c>
      <c r="F872" s="3">
        <v>3</v>
      </c>
      <c r="G872" s="3">
        <v>1</v>
      </c>
    </row>
    <row r="873" spans="1:7" x14ac:dyDescent="0.25">
      <c r="A873" s="3" t="s">
        <v>51</v>
      </c>
      <c r="B873" s="3" t="s">
        <v>11</v>
      </c>
      <c r="C873" s="3">
        <v>2</v>
      </c>
      <c r="D873" s="3">
        <v>2</v>
      </c>
      <c r="E873" s="3">
        <v>1</v>
      </c>
      <c r="F873" s="3">
        <v>1</v>
      </c>
      <c r="G873" s="3">
        <v>0</v>
      </c>
    </row>
    <row r="874" spans="1:7" x14ac:dyDescent="0.25">
      <c r="A874" s="3" t="s">
        <v>51</v>
      </c>
      <c r="B874" s="3" t="s">
        <v>175</v>
      </c>
      <c r="C874" s="3">
        <v>10</v>
      </c>
      <c r="D874" s="3">
        <v>10</v>
      </c>
      <c r="E874" s="3">
        <v>9</v>
      </c>
      <c r="F874" s="3">
        <v>1</v>
      </c>
      <c r="G874" s="3">
        <v>0</v>
      </c>
    </row>
    <row r="875" spans="1:7" x14ac:dyDescent="0.25">
      <c r="A875" s="3" t="s">
        <v>103</v>
      </c>
      <c r="B875" s="3" t="s">
        <v>175</v>
      </c>
      <c r="C875" s="3">
        <v>55</v>
      </c>
      <c r="D875" s="3">
        <v>52</v>
      </c>
      <c r="E875" s="3">
        <v>42</v>
      </c>
      <c r="F875" s="3">
        <v>10</v>
      </c>
      <c r="G875" s="3">
        <v>1</v>
      </c>
    </row>
    <row r="876" spans="1:7" x14ac:dyDescent="0.25">
      <c r="A876" s="3" t="s">
        <v>103</v>
      </c>
      <c r="B876" s="3" t="s">
        <v>176</v>
      </c>
      <c r="C876" s="3">
        <v>110</v>
      </c>
      <c r="D876" s="3">
        <v>110</v>
      </c>
      <c r="E876" s="3">
        <v>101</v>
      </c>
      <c r="F876" s="3">
        <v>9</v>
      </c>
      <c r="G876" s="3">
        <v>0</v>
      </c>
    </row>
    <row r="877" spans="1:7" x14ac:dyDescent="0.25">
      <c r="A877" s="3" t="s">
        <v>103</v>
      </c>
      <c r="B877" s="3" t="s">
        <v>11</v>
      </c>
      <c r="C877" s="3">
        <v>3</v>
      </c>
      <c r="D877" s="3">
        <v>3</v>
      </c>
      <c r="E877" s="3">
        <v>2</v>
      </c>
      <c r="F877" s="3">
        <v>1</v>
      </c>
      <c r="G877" s="3">
        <v>0</v>
      </c>
    </row>
    <row r="878" spans="1:7" x14ac:dyDescent="0.25">
      <c r="A878" s="3" t="s">
        <v>103</v>
      </c>
      <c r="B878" s="3" t="s">
        <v>174</v>
      </c>
      <c r="C878" s="3">
        <v>56</v>
      </c>
      <c r="D878" s="3">
        <v>55</v>
      </c>
      <c r="E878" s="3">
        <v>49</v>
      </c>
      <c r="F878" s="3">
        <v>6</v>
      </c>
      <c r="G878" s="3">
        <v>0</v>
      </c>
    </row>
    <row r="879" spans="1:7" x14ac:dyDescent="0.25">
      <c r="A879" s="3" t="s">
        <v>129</v>
      </c>
      <c r="B879" s="3" t="s">
        <v>11</v>
      </c>
      <c r="C879" s="3">
        <v>4</v>
      </c>
      <c r="D879" s="3">
        <v>4</v>
      </c>
      <c r="E879" s="3">
        <v>4</v>
      </c>
      <c r="F879" s="3">
        <v>0</v>
      </c>
      <c r="G879" s="3">
        <v>0</v>
      </c>
    </row>
    <row r="880" spans="1:7" x14ac:dyDescent="0.25">
      <c r="A880" s="3" t="s">
        <v>129</v>
      </c>
      <c r="B880" s="3" t="s">
        <v>174</v>
      </c>
      <c r="C880" s="3">
        <v>16</v>
      </c>
      <c r="D880" s="3">
        <v>16</v>
      </c>
      <c r="E880" s="3">
        <v>12</v>
      </c>
      <c r="F880" s="3">
        <v>4</v>
      </c>
      <c r="G880" s="3">
        <v>0</v>
      </c>
    </row>
    <row r="881" spans="1:7" x14ac:dyDescent="0.25">
      <c r="A881" s="3" t="s">
        <v>129</v>
      </c>
      <c r="B881" s="3" t="s">
        <v>176</v>
      </c>
      <c r="C881" s="3">
        <v>10</v>
      </c>
      <c r="D881" s="3">
        <v>10</v>
      </c>
      <c r="E881" s="3">
        <v>10</v>
      </c>
      <c r="F881" s="3">
        <v>0</v>
      </c>
      <c r="G881" s="3">
        <v>0</v>
      </c>
    </row>
    <row r="882" spans="1:7" x14ac:dyDescent="0.25">
      <c r="A882" s="3" t="s">
        <v>129</v>
      </c>
      <c r="B882" s="3" t="s">
        <v>175</v>
      </c>
      <c r="C882" s="3">
        <v>38</v>
      </c>
      <c r="D882" s="3">
        <v>37</v>
      </c>
      <c r="E882" s="3">
        <v>30</v>
      </c>
      <c r="F882" s="3">
        <v>7</v>
      </c>
      <c r="G882" s="3">
        <v>0</v>
      </c>
    </row>
    <row r="883" spans="1:7" x14ac:dyDescent="0.25">
      <c r="A883" s="3" t="s">
        <v>100</v>
      </c>
      <c r="B883" s="3" t="s">
        <v>11</v>
      </c>
      <c r="C883" s="3">
        <v>6</v>
      </c>
      <c r="D883" s="3">
        <v>6</v>
      </c>
      <c r="E883" s="3">
        <v>4</v>
      </c>
      <c r="F883" s="3">
        <v>2</v>
      </c>
      <c r="G883" s="3">
        <v>0</v>
      </c>
    </row>
    <row r="884" spans="1:7" x14ac:dyDescent="0.25">
      <c r="A884" s="3" t="s">
        <v>100</v>
      </c>
      <c r="B884" s="3" t="s">
        <v>176</v>
      </c>
      <c r="C884" s="3">
        <v>22</v>
      </c>
      <c r="D884" s="3">
        <v>22</v>
      </c>
      <c r="E884" s="3">
        <v>21</v>
      </c>
      <c r="F884" s="3">
        <v>1</v>
      </c>
      <c r="G884" s="3">
        <v>0</v>
      </c>
    </row>
    <row r="885" spans="1:7" x14ac:dyDescent="0.25">
      <c r="A885" s="3" t="s">
        <v>100</v>
      </c>
      <c r="B885" s="3" t="s">
        <v>174</v>
      </c>
      <c r="C885" s="3">
        <v>17</v>
      </c>
      <c r="D885" s="3">
        <v>17</v>
      </c>
      <c r="E885" s="3">
        <v>13</v>
      </c>
      <c r="F885" s="3">
        <v>4</v>
      </c>
      <c r="G885" s="3">
        <v>0</v>
      </c>
    </row>
    <row r="886" spans="1:7" x14ac:dyDescent="0.25">
      <c r="A886" s="3" t="s">
        <v>100</v>
      </c>
      <c r="B886" s="3" t="s">
        <v>175</v>
      </c>
      <c r="C886" s="3">
        <v>75</v>
      </c>
      <c r="D886" s="3">
        <v>75</v>
      </c>
      <c r="E886" s="3">
        <v>58</v>
      </c>
      <c r="F886" s="3">
        <v>17</v>
      </c>
      <c r="G886" s="3">
        <v>0</v>
      </c>
    </row>
    <row r="887" spans="1:7" x14ac:dyDescent="0.25">
      <c r="A887" s="3" t="s">
        <v>61</v>
      </c>
      <c r="B887" s="3" t="s">
        <v>174</v>
      </c>
      <c r="C887" s="3">
        <v>73</v>
      </c>
      <c r="D887" s="3">
        <v>72</v>
      </c>
      <c r="E887" s="3">
        <v>56</v>
      </c>
      <c r="F887" s="3">
        <v>16</v>
      </c>
      <c r="G887" s="3">
        <v>0</v>
      </c>
    </row>
    <row r="888" spans="1:7" x14ac:dyDescent="0.25">
      <c r="A888" s="3" t="s">
        <v>61</v>
      </c>
      <c r="B888" s="3" t="s">
        <v>176</v>
      </c>
      <c r="C888" s="3">
        <v>69</v>
      </c>
      <c r="D888" s="3">
        <v>67</v>
      </c>
      <c r="E888" s="3">
        <v>55</v>
      </c>
      <c r="F888" s="3">
        <v>12</v>
      </c>
      <c r="G888" s="3">
        <v>0</v>
      </c>
    </row>
    <row r="889" spans="1:7" x14ac:dyDescent="0.25">
      <c r="A889" s="3" t="s">
        <v>61</v>
      </c>
      <c r="B889" s="3" t="s">
        <v>175</v>
      </c>
      <c r="C889" s="3">
        <v>149</v>
      </c>
      <c r="D889" s="3">
        <v>144</v>
      </c>
      <c r="E889" s="3">
        <v>123</v>
      </c>
      <c r="F889" s="3">
        <v>21</v>
      </c>
      <c r="G889" s="3">
        <v>1</v>
      </c>
    </row>
    <row r="890" spans="1:7" x14ac:dyDescent="0.25">
      <c r="A890" s="3" t="s">
        <v>61</v>
      </c>
      <c r="B890" s="3" t="s">
        <v>11</v>
      </c>
      <c r="C890" s="3">
        <v>56</v>
      </c>
      <c r="D890" s="3">
        <v>56</v>
      </c>
      <c r="E890" s="3">
        <v>54</v>
      </c>
      <c r="F890" s="3">
        <v>2</v>
      </c>
      <c r="G890" s="3">
        <v>0</v>
      </c>
    </row>
  </sheetData>
  <autoFilter ref="A2:G641"/>
  <sortState ref="A3:G767">
    <sortCondition ref="A3:A7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Методологија</vt:lpstr>
      <vt:lpstr>Графички приказ</vt:lpstr>
      <vt:lpstr>Сумарни подаци</vt:lpstr>
      <vt:lpstr>Градови - сумарни подаци</vt:lpstr>
      <vt:lpstr>Градови - појединачни подаци</vt:lpstr>
      <vt:lpstr>Општине - сумарни подаци</vt:lpstr>
      <vt:lpstr>Општине - појединачни подаци</vt:lpstr>
      <vt:lpstr>Општине - радна верзија</vt:lpstr>
      <vt:lpstr>Градови - радна верзија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Klime Buneski</dc:creator>
  <cp:lastModifiedBy>Milica Anđelković</cp:lastModifiedBy>
  <dcterms:created xsi:type="dcterms:W3CDTF">2017-04-03T18:26:06Z</dcterms:created>
  <dcterms:modified xsi:type="dcterms:W3CDTF">2018-01-12T15:49:08Z</dcterms:modified>
</cp:coreProperties>
</file>